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55" windowHeight="11250" activeTab="1"/>
  </bookViews>
  <sheets>
    <sheet name="pLinac_Nomen" sheetId="1" r:id="rId1"/>
    <sheet name="Ref_Points" sheetId="2" r:id="rId2"/>
  </sheets>
  <definedNames/>
  <calcPr fullCalcOnLoad="1"/>
</workbook>
</file>

<file path=xl/sharedStrings.xml><?xml version="1.0" encoding="utf-8"?>
<sst xmlns="http://schemas.openxmlformats.org/spreadsheetml/2006/main" count="400" uniqueCount="267">
  <si>
    <t>Dist_next_gap</t>
  </si>
  <si>
    <t>[cm]</t>
  </si>
  <si>
    <t>tot. Length</t>
  </si>
  <si>
    <t>Gap No.</t>
  </si>
  <si>
    <t>Component</t>
  </si>
  <si>
    <t>Buncher</t>
  </si>
  <si>
    <t>CH_1</t>
  </si>
  <si>
    <t>CH_2</t>
  </si>
  <si>
    <t>CH_3</t>
  </si>
  <si>
    <t>CH_4</t>
  </si>
  <si>
    <t>CH_5</t>
  </si>
  <si>
    <t>CH_6</t>
  </si>
  <si>
    <t>CH_7</t>
  </si>
  <si>
    <t>CH_8</t>
  </si>
  <si>
    <t>CH_9</t>
  </si>
  <si>
    <t>Terminal</t>
  </si>
  <si>
    <t>F-Cup</t>
  </si>
  <si>
    <t>Solenoid</t>
  </si>
  <si>
    <t>Chamber</t>
  </si>
  <si>
    <t>Reference</t>
  </si>
  <si>
    <t>IFMIF Report Sep2008</t>
  </si>
  <si>
    <t>Iris</t>
  </si>
  <si>
    <t>Wien Filter</t>
  </si>
  <si>
    <t>SEM-Grid</t>
  </si>
  <si>
    <t>Chopper</t>
  </si>
  <si>
    <t>RFQ</t>
  </si>
  <si>
    <t>LG</t>
  </si>
  <si>
    <t>Mail A. Schempp 7Jul2009 (rounded)</t>
  </si>
  <si>
    <t xml:space="preserve"> </t>
  </si>
  <si>
    <t>Steerer</t>
  </si>
  <si>
    <t>BPM</t>
  </si>
  <si>
    <t>Quad_D</t>
  </si>
  <si>
    <t>Quad_C</t>
  </si>
  <si>
    <t>X-Chamber</t>
  </si>
  <si>
    <t>Beamline to Dump</t>
  </si>
  <si>
    <t>Beamline to SIS</t>
  </si>
  <si>
    <t>Dipol 45°</t>
  </si>
  <si>
    <t>Quad_E</t>
  </si>
  <si>
    <t>Diameter</t>
  </si>
  <si>
    <t>Nomen</t>
  </si>
  <si>
    <t>Slit</t>
  </si>
  <si>
    <t>Grid</t>
  </si>
  <si>
    <t>Bunchmonit.</t>
  </si>
  <si>
    <t>Specs Apr2010</t>
  </si>
  <si>
    <t>TDR_21Apr2010</t>
  </si>
  <si>
    <t>LEBT Distances: Minutes Oct2009, p.4</t>
  </si>
  <si>
    <t>Zeichnung Chopper</t>
  </si>
  <si>
    <t>Mag.Data Sheet 20Aug2008</t>
  </si>
  <si>
    <t>Bellow</t>
  </si>
  <si>
    <t>RFQ-EndPlate: 2 cm LG</t>
  </si>
  <si>
    <t>L(Bau)</t>
  </si>
  <si>
    <t>L(Field)</t>
  </si>
  <si>
    <t>Gap Length</t>
  </si>
  <si>
    <t>CHs</t>
  </si>
  <si>
    <t>Thick_long_Tube</t>
  </si>
  <si>
    <t>front face incl. water cool. channel</t>
  </si>
  <si>
    <t>length/diam. guess LG</t>
  </si>
  <si>
    <t>fast valve</t>
  </si>
  <si>
    <t>sector valve</t>
  </si>
  <si>
    <t>length A. Krämer 1.9.2010</t>
  </si>
  <si>
    <t>VAT-stp file</t>
  </si>
  <si>
    <t>stp-file</t>
  </si>
  <si>
    <t>VAT stp-file</t>
  </si>
  <si>
    <t>Coupling</t>
  </si>
  <si>
    <t>60 (square)</t>
  </si>
  <si>
    <t>Start of eff. field &amp; centre of beam trajectory</t>
  </si>
  <si>
    <t>Entry</t>
  </si>
  <si>
    <t>Exit</t>
  </si>
  <si>
    <t>x</t>
  </si>
  <si>
    <t>y</t>
  </si>
  <si>
    <t>TK8MS8 (mit UHV-Rohr) gibt's schon</t>
  </si>
  <si>
    <t>ab jetzt existierender TK</t>
  </si>
  <si>
    <t>PLPSDT1</t>
  </si>
  <si>
    <t>PLLEVV1T</t>
  </si>
  <si>
    <t>PLLEMO1</t>
  </si>
  <si>
    <t>PLLEKH1</t>
  </si>
  <si>
    <t>PLLEKV1</t>
  </si>
  <si>
    <t>PLLEDK1</t>
  </si>
  <si>
    <t>PLLEDC1</t>
  </si>
  <si>
    <t>PLLEUW1</t>
  </si>
  <si>
    <t>PLLEDG1H</t>
  </si>
  <si>
    <t>PLLEDG1V</t>
  </si>
  <si>
    <t>PLLEMO2</t>
  </si>
  <si>
    <t>PLLEKH2</t>
  </si>
  <si>
    <t>PLLEKV2</t>
  </si>
  <si>
    <t>PLLELC1</t>
  </si>
  <si>
    <t>PLLEDT1</t>
  </si>
  <si>
    <t>PLLEBR1</t>
  </si>
  <si>
    <t>PLLEKH3</t>
  </si>
  <si>
    <t>PLLEKV3</t>
  </si>
  <si>
    <t>PLLEQT11</t>
  </si>
  <si>
    <t>PLLEQT12</t>
  </si>
  <si>
    <t>PLLEQT13</t>
  </si>
  <si>
    <t>PLC1VV1T</t>
  </si>
  <si>
    <t>PLC1BB1</t>
  </si>
  <si>
    <t>PLC1DX1</t>
  </si>
  <si>
    <t>PLC1DT1</t>
  </si>
  <si>
    <t>PLC1QD11</t>
  </si>
  <si>
    <t>PLC1QD12</t>
  </si>
  <si>
    <t>PLC1BH1</t>
  </si>
  <si>
    <t>PLC1QT11</t>
  </si>
  <si>
    <t>PLC1QT12</t>
  </si>
  <si>
    <t>PLC1QT13</t>
  </si>
  <si>
    <t>PLC1DX2</t>
  </si>
  <si>
    <t>PLC1QT21</t>
  </si>
  <si>
    <t>PLC1QT22</t>
  </si>
  <si>
    <t>PLC1QT23</t>
  </si>
  <si>
    <t>PLC1BH2</t>
  </si>
  <si>
    <t>PLC1QT31</t>
  </si>
  <si>
    <t>PLC1QT32</t>
  </si>
  <si>
    <t>PLC1QT33</t>
  </si>
  <si>
    <t>PLC1QT41</t>
  </si>
  <si>
    <t>PLC1QT42</t>
  </si>
  <si>
    <t>PLC1QT43</t>
  </si>
  <si>
    <t>PLC1DX3</t>
  </si>
  <si>
    <t>PLC1BH3</t>
  </si>
  <si>
    <t>PLC1QT51</t>
  </si>
  <si>
    <t>PLC1QT52</t>
  </si>
  <si>
    <t>PLC1QT53</t>
  </si>
  <si>
    <t>PLC1QT61</t>
  </si>
  <si>
    <t>PLC1QT62</t>
  </si>
  <si>
    <t>PLC1QT63</t>
  </si>
  <si>
    <t>PLC1DX4</t>
  </si>
  <si>
    <t>PLC1KH1</t>
  </si>
  <si>
    <t>PLC1KV1</t>
  </si>
  <si>
    <t>PLDSVV1T</t>
  </si>
  <si>
    <t>PLC2VV1T</t>
  </si>
  <si>
    <t>PLC2DX1</t>
  </si>
  <si>
    <t>PLC2KH1</t>
  </si>
  <si>
    <t>PLC2KV1</t>
  </si>
  <si>
    <t>PLC2DT1</t>
  </si>
  <si>
    <t>PLC2QT11</t>
  </si>
  <si>
    <t>PLC2QT12</t>
  </si>
  <si>
    <t>PLC2QT13</t>
  </si>
  <si>
    <t>PLC2BH1</t>
  </si>
  <si>
    <t>PLC2QT21</t>
  </si>
  <si>
    <t>PLC2QT22</t>
  </si>
  <si>
    <t>PLC2QT23</t>
  </si>
  <si>
    <t>PLC2DX2</t>
  </si>
  <si>
    <t>PLC2BH2</t>
  </si>
  <si>
    <t>PLC2QT31</t>
  </si>
  <si>
    <t>PLC2QT32</t>
  </si>
  <si>
    <t>PLC2QT33</t>
  </si>
  <si>
    <t>PLC2DX3</t>
  </si>
  <si>
    <t>PLC2BH3</t>
  </si>
  <si>
    <t>PLC2QT41</t>
  </si>
  <si>
    <t>PLC2QT42</t>
  </si>
  <si>
    <t>PLC2QT43</t>
  </si>
  <si>
    <t>PLC2DT2</t>
  </si>
  <si>
    <t>PLC2DX4</t>
  </si>
  <si>
    <t>PLC2KV2</t>
  </si>
  <si>
    <t>PLC2KH2</t>
  </si>
  <si>
    <t>PLTKVV1T</t>
  </si>
  <si>
    <t>PLTKVV1S</t>
  </si>
  <si>
    <t>PLD1KH1</t>
  </si>
  <si>
    <t>PLD1KV1</t>
  </si>
  <si>
    <t>PLD1DX1</t>
  </si>
  <si>
    <t>PLD1DX2</t>
  </si>
  <si>
    <t>PLD2DK1</t>
  </si>
  <si>
    <t>PLTKMH1</t>
  </si>
  <si>
    <t>PLTKQS1</t>
  </si>
  <si>
    <t>PLTKDK1</t>
  </si>
  <si>
    <t>PLTKDS1H</t>
  </si>
  <si>
    <t>PLTKDS1V</t>
  </si>
  <si>
    <t>PLTHDG1H</t>
  </si>
  <si>
    <t>PLTKDG1V</t>
  </si>
  <si>
    <t>PLTKQS2</t>
  </si>
  <si>
    <t>Plasma El.</t>
  </si>
  <si>
    <t>Nullpunkt des p-Linac Systems</t>
  </si>
  <si>
    <t>Kreuzpunkt Dipol 1</t>
  </si>
  <si>
    <t>Kreuzpunkt Dipol 2</t>
  </si>
  <si>
    <t>PLTKDX1</t>
  </si>
  <si>
    <t>GSI NN Coordinates</t>
  </si>
  <si>
    <t>TK8QT11_Field</t>
  </si>
  <si>
    <t>phi</t>
  </si>
  <si>
    <t>x [m]</t>
  </si>
  <si>
    <t>y [m]</t>
  </si>
  <si>
    <t>0,0 of pLinac System in NN:</t>
  </si>
  <si>
    <t>7 cm guess LG</t>
  </si>
  <si>
    <t>BellowCF40</t>
  </si>
  <si>
    <t>BellowCF100</t>
  </si>
  <si>
    <t>centre defined by x-coord af 2nd dipole exit !!!!</t>
  </si>
  <si>
    <t>centre related to x-coord af 2nd dipole exit !!!!</t>
  </si>
  <si>
    <t>guess (should be attached directly to dip_chamber)</t>
  </si>
  <si>
    <t>RF-coupl.</t>
  </si>
  <si>
    <t>commiss. dumps.</t>
  </si>
  <si>
    <t>GEOMETRY 801</t>
  </si>
  <si>
    <t>Punkt</t>
  </si>
  <si>
    <t>X_GSI_NN [m]</t>
  </si>
  <si>
    <t>Y_GSI_NN [m]</t>
  </si>
  <si>
    <t>cos(22.5°)</t>
  </si>
  <si>
    <t>cos(67.5°)</t>
  </si>
  <si>
    <t>Distance</t>
  </si>
  <si>
    <t>7 to 1</t>
  </si>
  <si>
    <t>7 to 5</t>
  </si>
  <si>
    <t>linac_source_coodinates [cm]</t>
  </si>
  <si>
    <t>y[arc_cent]</t>
  </si>
  <si>
    <t>x[arc_cent]</t>
  </si>
  <si>
    <t>CCH1</t>
  </si>
  <si>
    <t>CCH2</t>
  </si>
  <si>
    <t>CCH3</t>
  </si>
  <si>
    <t>CH7</t>
  </si>
  <si>
    <t>CH8</t>
  </si>
  <si>
    <t>CH9</t>
  </si>
  <si>
    <t>Einkopplung (vom TK [m])</t>
  </si>
  <si>
    <t>Offset [m]</t>
  </si>
  <si>
    <t>WG-Durchbruch (vom TK [m])</t>
  </si>
  <si>
    <t>Triplet_Centres (vom TK [m])</t>
  </si>
  <si>
    <t>Breite 6.0m Höhe, 3.5 m,  R. Hollinger (Mail vom 19.10.10)</t>
  </si>
  <si>
    <t>BellowCF40_100</t>
  </si>
  <si>
    <t>PLPSVV1T</t>
  </si>
  <si>
    <t>PLD1VV1T</t>
  </si>
  <si>
    <t>PLLEVC1</t>
  </si>
  <si>
    <t>PLLEVC2</t>
  </si>
  <si>
    <t>PLDSVC1</t>
  </si>
  <si>
    <t>PLDSVC2</t>
  </si>
  <si>
    <t>PLDSVC3</t>
  </si>
  <si>
    <t>PLC2VC1</t>
  </si>
  <si>
    <t>PLTKVC1</t>
  </si>
  <si>
    <t>PLD1VC1</t>
  </si>
  <si>
    <t>PLTKVC2</t>
  </si>
  <si>
    <t>PLTKVC3</t>
  </si>
  <si>
    <t>PLTKVC4</t>
  </si>
  <si>
    <t>PLTKVC5</t>
  </si>
  <si>
    <t>ACCT</t>
  </si>
  <si>
    <t>PLDSDK1</t>
  </si>
  <si>
    <t>PLDSDS1H</t>
  </si>
  <si>
    <t>PLDSDS1V</t>
  </si>
  <si>
    <t>PLDSBB1</t>
  </si>
  <si>
    <t>PLDSDK2</t>
  </si>
  <si>
    <t>PLDSDC2</t>
  </si>
  <si>
    <t>PLDSDG2H</t>
  </si>
  <si>
    <t>PLDSDG2V</t>
  </si>
  <si>
    <t>File History</t>
  </si>
  <si>
    <t>Fast Valve close to source removed</t>
  </si>
  <si>
    <t>bugs in naming removed</t>
  </si>
  <si>
    <t>Sector Valve East of Cross-Chamber added, Cross chamber now in GTK-Section</t>
  </si>
  <si>
    <t>Tripl.</t>
  </si>
  <si>
    <t>few changes in nomenclature in inflection &amp; dump area</t>
  </si>
  <si>
    <t>PLDSDX1</t>
  </si>
  <si>
    <t>PLTKMH2</t>
  </si>
  <si>
    <t>GTK8KMS8</t>
  </si>
  <si>
    <t>PLD2VC1</t>
  </si>
  <si>
    <t>PLD2VV1T</t>
  </si>
  <si>
    <t>PLD3VC1</t>
  </si>
  <si>
    <t>PLD3DK1</t>
  </si>
  <si>
    <t>PLD3DS1</t>
  </si>
  <si>
    <t>PLD3DS1H</t>
  </si>
  <si>
    <t>PLD3DS1V</t>
  </si>
  <si>
    <t>PLD3VC2</t>
  </si>
  <si>
    <t>PLD3DK2</t>
  </si>
  <si>
    <t>PLD3DM2</t>
  </si>
  <si>
    <t>PLD3VC4</t>
  </si>
  <si>
    <t>PLD3DK3</t>
  </si>
  <si>
    <t>PLD3DG3H</t>
  </si>
  <si>
    <t>PLD3DG3V</t>
  </si>
  <si>
    <t>PLD3VC5</t>
  </si>
  <si>
    <t>PLD3DX1</t>
  </si>
  <si>
    <t>PLD3DC1</t>
  </si>
  <si>
    <t>PLLEDS1DE</t>
  </si>
  <si>
    <t>GTK8DT6</t>
  </si>
  <si>
    <t>GTK8DX1</t>
  </si>
  <si>
    <t>GTK8VC13</t>
  </si>
  <si>
    <t>LEBT iris renamed to PLLEDS1DE</t>
  </si>
  <si>
    <t>TK-Trafo renamed to GTK8DT6</t>
  </si>
  <si>
    <t>TK-Bellow renamed to GTK8VC13</t>
  </si>
  <si>
    <t>TK-BPM renamed to GTK8DX1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</si>
</sst>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4.5"/>
      <name val="Arial"/>
      <family val="0"/>
    </font>
    <font>
      <b/>
      <sz val="11.75"/>
      <name val="Arial"/>
      <family val="2"/>
    </font>
    <font>
      <sz val="11.75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4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64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0" fillId="0" borderId="3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0" fontId="17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164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64" fontId="0" fillId="0" borderId="5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0" fillId="3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shrinkToFit="1"/>
    </xf>
    <xf numFmtId="2" fontId="0" fillId="0" borderId="3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v>hor., Exp.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percentage"/>
            <c:val val="4"/>
            <c:noEndCap val="0"/>
            <c:spPr>
              <a:ln w="12700">
                <a:solidFill>
                  <a:srgbClr val="FF0000"/>
                </a:solidFill>
              </a:ln>
            </c:spPr>
          </c:errBars>
          <c:cat>
            <c:numRef>
              <c:f>pLinac_Nomen!$Q$5:$Q$295</c:f>
              <c:numCache/>
            </c:numRef>
          </c:cat>
          <c:val>
            <c:numRef>
              <c:f>pLinac_Nomen!$R$5:$R$295</c:f>
              <c:numCache>
                <c:ptCount val="2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5">
                  <c:v>0</c:v>
                </c:pt>
                <c:pt idx="149">
                  <c:v>0</c:v>
                </c:pt>
                <c:pt idx="150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9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5">
                  <c:v>0</c:v>
                </c:pt>
                <c:pt idx="246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4">
                  <c:v>0</c:v>
                </c:pt>
                <c:pt idx="255">
                  <c:v>0</c:v>
                </c:pt>
                <c:pt idx="259">
                  <c:v>0</c:v>
                </c:pt>
                <c:pt idx="260">
                  <c:v>0</c:v>
                </c:pt>
                <c:pt idx="262">
                  <c:v>0</c:v>
                </c:pt>
                <c:pt idx="263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72">
                  <c:v>0</c:v>
                </c:pt>
                <c:pt idx="273">
                  <c:v>53.96702666341051</c:v>
                </c:pt>
                <c:pt idx="274">
                  <c:v>62.098754647055806</c:v>
                </c:pt>
                <c:pt idx="275">
                  <c:v>73.3417524679219</c:v>
                </c:pt>
                <c:pt idx="276">
                  <c:v>97.66622574073914</c:v>
                </c:pt>
                <c:pt idx="277">
                  <c:v>102.82810524340093</c:v>
                </c:pt>
                <c:pt idx="279">
                  <c:v>0</c:v>
                </c:pt>
                <c:pt idx="280">
                  <c:v>238.89083</c:v>
                </c:pt>
                <c:pt idx="282">
                  <c:v>136.06212395916867</c:v>
                </c:pt>
                <c:pt idx="283">
                  <c:v>147.37583245815344</c:v>
                </c:pt>
                <c:pt idx="284">
                  <c:v>178.77137354283616</c:v>
                </c:pt>
                <c:pt idx="285">
                  <c:v>186.90310152648146</c:v>
                </c:pt>
                <c:pt idx="286">
                  <c:v>209.60123</c:v>
                </c:pt>
                <c:pt idx="287">
                  <c:v>305.21223</c:v>
                </c:pt>
                <c:pt idx="288">
                  <c:v>316.71223</c:v>
                </c:pt>
                <c:pt idx="289">
                  <c:v>326.71223</c:v>
                </c:pt>
                <c:pt idx="290">
                  <c:v>332.21223</c:v>
                </c:pt>
              </c:numCache>
            </c:numRef>
          </c:val>
        </c:ser>
        <c:axId val="54385416"/>
        <c:axId val="19706697"/>
      </c:area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3854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298</xdr:row>
      <xdr:rowOff>0</xdr:rowOff>
    </xdr:from>
    <xdr:to>
      <xdr:col>17</xdr:col>
      <xdr:colOff>428625</xdr:colOff>
      <xdr:row>327</xdr:row>
      <xdr:rowOff>0</xdr:rowOff>
    </xdr:to>
    <xdr:graphicFrame>
      <xdr:nvGraphicFramePr>
        <xdr:cNvPr id="1" name="Chart 1"/>
        <xdr:cNvGraphicFramePr/>
      </xdr:nvGraphicFramePr>
      <xdr:xfrm>
        <a:off x="6743700" y="48253650"/>
        <a:ext cx="7305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3"/>
  <sheetViews>
    <sheetView zoomScale="75" zoomScaleNormal="75" workbookViewId="0" topLeftCell="A1">
      <pane ySplit="3" topLeftCell="BM259" activePane="bottomLeft" state="frozen"/>
      <selection pane="topLeft" activeCell="A1" sqref="A1"/>
      <selection pane="bottomLeft" activeCell="F310" sqref="F309:F310"/>
    </sheetView>
  </sheetViews>
  <sheetFormatPr defaultColWidth="11.421875" defaultRowHeight="12.75"/>
  <cols>
    <col min="1" max="1" width="16.00390625" style="5" bestFit="1" customWidth="1"/>
    <col min="2" max="3" width="8.7109375" style="22" bestFit="1" customWidth="1"/>
    <col min="4" max="4" width="11.421875" style="27" customWidth="1"/>
    <col min="5" max="5" width="11.421875" style="22" customWidth="1"/>
    <col min="6" max="6" width="13.7109375" style="0" customWidth="1"/>
    <col min="8" max="8" width="8.28125" style="0" customWidth="1"/>
    <col min="10" max="10" width="17.28125" style="13" customWidth="1"/>
    <col min="11" max="11" width="16.57421875" style="0" customWidth="1"/>
    <col min="12" max="13" width="5.140625" style="0" customWidth="1"/>
    <col min="16" max="16" width="24.421875" style="0" customWidth="1"/>
    <col min="17" max="17" width="11.7109375" style="0" bestFit="1" customWidth="1"/>
    <col min="18" max="18" width="8.421875" style="0" customWidth="1"/>
    <col min="19" max="19" width="11.7109375" style="0" bestFit="1" customWidth="1"/>
    <col min="20" max="20" width="8.7109375" style="0" bestFit="1" customWidth="1"/>
    <col min="21" max="21" width="11.57421875" style="0" bestFit="1" customWidth="1"/>
    <col min="22" max="22" width="11.7109375" style="0" bestFit="1" customWidth="1"/>
    <col min="23" max="23" width="11.57421875" style="0" customWidth="1"/>
    <col min="24" max="25" width="11.7109375" style="0" bestFit="1" customWidth="1"/>
  </cols>
  <sheetData>
    <row r="1" spans="1:27" s="1" customFormat="1" ht="12.75">
      <c r="A1" s="5" t="s">
        <v>4</v>
      </c>
      <c r="B1" s="9" t="s">
        <v>66</v>
      </c>
      <c r="C1" s="9" t="s">
        <v>67</v>
      </c>
      <c r="D1" s="28" t="s">
        <v>38</v>
      </c>
      <c r="E1" s="24" t="s">
        <v>39</v>
      </c>
      <c r="F1" s="4" t="s">
        <v>0</v>
      </c>
      <c r="G1" s="2" t="s">
        <v>2</v>
      </c>
      <c r="H1" s="2" t="s">
        <v>3</v>
      </c>
      <c r="I1" s="2" t="s">
        <v>52</v>
      </c>
      <c r="J1" s="1" t="s">
        <v>19</v>
      </c>
      <c r="N1" s="1" t="s">
        <v>184</v>
      </c>
      <c r="O1" s="1" t="s">
        <v>237</v>
      </c>
      <c r="P1" s="1" t="s">
        <v>185</v>
      </c>
      <c r="Q1" s="227" t="s">
        <v>66</v>
      </c>
      <c r="R1" s="227"/>
      <c r="S1" s="227" t="s">
        <v>67</v>
      </c>
      <c r="T1" s="227"/>
      <c r="U1" s="1" t="s">
        <v>197</v>
      </c>
      <c r="V1" s="1" t="s">
        <v>196</v>
      </c>
      <c r="X1" s="227" t="s">
        <v>66</v>
      </c>
      <c r="Y1" s="227"/>
      <c r="Z1" s="227" t="s">
        <v>67</v>
      </c>
      <c r="AA1" s="227"/>
    </row>
    <row r="2" spans="1:27" s="1" customFormat="1" ht="12.75">
      <c r="A2" s="5"/>
      <c r="B2" s="4" t="s">
        <v>1</v>
      </c>
      <c r="C2" s="4" t="s">
        <v>1</v>
      </c>
      <c r="D2" s="29" t="s">
        <v>1</v>
      </c>
      <c r="E2" s="4"/>
      <c r="F2" s="4" t="s">
        <v>1</v>
      </c>
      <c r="G2" s="2" t="s">
        <v>1</v>
      </c>
      <c r="H2" s="2"/>
      <c r="K2" s="44" t="s">
        <v>31</v>
      </c>
      <c r="L2" s="44"/>
      <c r="M2" s="44"/>
      <c r="Q2" s="229" t="s">
        <v>195</v>
      </c>
      <c r="R2" s="230"/>
      <c r="S2" s="230"/>
      <c r="T2" s="231"/>
      <c r="U2" s="237" t="s">
        <v>1</v>
      </c>
      <c r="V2" s="238"/>
      <c r="X2" s="229" t="s">
        <v>172</v>
      </c>
      <c r="Y2" s="230"/>
      <c r="Z2" s="230"/>
      <c r="AA2" s="231"/>
    </row>
    <row r="3" spans="1:27" s="1" customFormat="1" ht="12.75">
      <c r="A3" s="5"/>
      <c r="B3" s="4"/>
      <c r="C3" s="4"/>
      <c r="D3" s="29"/>
      <c r="E3" s="4"/>
      <c r="F3" s="4"/>
      <c r="G3" s="2"/>
      <c r="H3" s="2"/>
      <c r="J3" s="10"/>
      <c r="K3" s="44" t="s">
        <v>50</v>
      </c>
      <c r="L3" s="44">
        <v>5.1</v>
      </c>
      <c r="M3" s="216">
        <f>L3-L4</f>
        <v>0.5</v>
      </c>
      <c r="Q3" s="2" t="s">
        <v>68</v>
      </c>
      <c r="R3" s="2" t="s">
        <v>69</v>
      </c>
      <c r="S3" s="2" t="s">
        <v>68</v>
      </c>
      <c r="T3" s="2" t="s">
        <v>69</v>
      </c>
      <c r="X3" s="2" t="s">
        <v>175</v>
      </c>
      <c r="Y3" s="2" t="s">
        <v>176</v>
      </c>
      <c r="Z3" s="2" t="s">
        <v>175</v>
      </c>
      <c r="AA3" s="2" t="s">
        <v>176</v>
      </c>
    </row>
    <row r="4" spans="1:27" s="1" customFormat="1" ht="12.75">
      <c r="A4" s="5" t="s">
        <v>15</v>
      </c>
      <c r="B4" s="30">
        <f>B5-565</f>
        <v>-565</v>
      </c>
      <c r="C4" s="30">
        <f>B4+600</f>
        <v>35</v>
      </c>
      <c r="D4" s="30">
        <v>250</v>
      </c>
      <c r="E4" s="79"/>
      <c r="F4" s="4"/>
      <c r="G4" s="2"/>
      <c r="H4" s="2"/>
      <c r="J4" s="10" t="s">
        <v>208</v>
      </c>
      <c r="K4" s="44" t="s">
        <v>51</v>
      </c>
      <c r="L4" s="44">
        <v>4.6</v>
      </c>
      <c r="M4" s="217"/>
      <c r="Q4" s="162">
        <f>B4</f>
        <v>-565</v>
      </c>
      <c r="R4" s="162">
        <v>0</v>
      </c>
      <c r="S4" s="162">
        <f>C4</f>
        <v>35</v>
      </c>
      <c r="T4" s="162">
        <v>0</v>
      </c>
      <c r="X4" s="10">
        <f>$X$302+0.01*Q4*COS($Y$307)+0.01*R4*SIN($Y$307)</f>
        <v>268.2543542751133</v>
      </c>
      <c r="Y4" s="10">
        <f>$Y$302-0.01*Q4*SIN($Y$307)+0.01*R4*COS($Y$307)</f>
        <v>455.4350547696584</v>
      </c>
      <c r="Z4" s="10">
        <f>$X$302+0.01*S4*COS($Y$307)+0.01*T4*SIN($Y$307)</f>
        <v>273.79763146948926</v>
      </c>
      <c r="AA4" s="10">
        <f>$Y$302-0.01*S4*SIN($Y$307)+0.01*T4*COS($Y$307)</f>
        <v>453.1389541737978</v>
      </c>
    </row>
    <row r="5" spans="1:27" s="1" customFormat="1" ht="12.75">
      <c r="A5" s="5" t="s">
        <v>167</v>
      </c>
      <c r="B5" s="85">
        <v>0</v>
      </c>
      <c r="C5" s="85">
        <v>0</v>
      </c>
      <c r="D5" s="30"/>
      <c r="E5" s="79"/>
      <c r="F5" s="4"/>
      <c r="G5" s="2"/>
      <c r="H5" s="2"/>
      <c r="J5" s="86" t="s">
        <v>168</v>
      </c>
      <c r="K5" s="60"/>
      <c r="L5" s="60"/>
      <c r="M5" s="60"/>
      <c r="Q5" s="162">
        <f>B5</f>
        <v>0</v>
      </c>
      <c r="R5" s="162">
        <v>0</v>
      </c>
      <c r="S5" s="162">
        <f>C5</f>
        <v>0</v>
      </c>
      <c r="T5" s="162">
        <v>0</v>
      </c>
      <c r="X5" s="10">
        <f>$X$302+0.01*Q5*COS($Y$307)+0.01*R5*SIN($Y$307)</f>
        <v>273.4742736331507</v>
      </c>
      <c r="Y5" s="10">
        <f>$Y$302-0.01*Q5*SIN($Y$307)+0.01*R5*COS($Y$307)</f>
        <v>453.272893375223</v>
      </c>
      <c r="Z5" s="10">
        <f>$X$302+0.01*S5*COS($Y$307)+0.01*T5*SIN($Y$307)</f>
        <v>273.4742736331507</v>
      </c>
      <c r="AA5" s="10">
        <f>$Y$302-0.01*S5*SIN($Y$307)+0.01*T5*COS($Y$307)</f>
        <v>453.272893375223</v>
      </c>
    </row>
    <row r="6" spans="1:27" s="1" customFormat="1" ht="12.75">
      <c r="A6" s="58" t="s">
        <v>224</v>
      </c>
      <c r="B6" s="30">
        <f>C4</f>
        <v>35</v>
      </c>
      <c r="C6" s="30">
        <f>B6+10</f>
        <v>45</v>
      </c>
      <c r="D6" s="30">
        <v>9</v>
      </c>
      <c r="E6" s="79" t="s">
        <v>72</v>
      </c>
      <c r="F6" s="4"/>
      <c r="G6" s="2"/>
      <c r="H6" s="2"/>
      <c r="J6" s="10" t="s">
        <v>44</v>
      </c>
      <c r="Q6" s="162">
        <f>B6</f>
        <v>35</v>
      </c>
      <c r="R6" s="162">
        <v>0</v>
      </c>
      <c r="S6" s="162">
        <f>C6</f>
        <v>45</v>
      </c>
      <c r="T6" s="162">
        <v>0</v>
      </c>
      <c r="X6" s="10">
        <f>$X$302+0.01*Q6*COS($Y$307)+0.01*R6*SIN($Y$307)</f>
        <v>273.79763146948926</v>
      </c>
      <c r="Y6" s="10">
        <f>$Y$302-0.01*Q6*SIN($Y$307)+0.01*R6*COS($Y$307)</f>
        <v>453.1389541737978</v>
      </c>
      <c r="Z6" s="10">
        <f>$X$302+0.01*S6*COS($Y$307)+0.01*T6*SIN($Y$307)</f>
        <v>273.89001942272887</v>
      </c>
      <c r="AA6" s="10">
        <f>$Y$302-0.01*S6*SIN($Y$307)+0.01*T6*COS($Y$307)</f>
        <v>453.10068583053345</v>
      </c>
    </row>
    <row r="7" spans="1:27" s="1" customFormat="1" ht="12.75">
      <c r="A7" s="179" t="s">
        <v>58</v>
      </c>
      <c r="B7" s="178">
        <v>85</v>
      </c>
      <c r="C7" s="178">
        <f>B7+7.2</f>
        <v>92.2</v>
      </c>
      <c r="D7" s="38">
        <v>20</v>
      </c>
      <c r="E7" s="79" t="s">
        <v>210</v>
      </c>
      <c r="F7" s="4"/>
      <c r="G7" s="2"/>
      <c r="H7" s="2"/>
      <c r="J7" s="10" t="s">
        <v>56</v>
      </c>
      <c r="K7" s="60"/>
      <c r="L7" s="60"/>
      <c r="M7" s="60"/>
      <c r="Q7" s="162">
        <f>B7</f>
        <v>85</v>
      </c>
      <c r="R7" s="162">
        <v>0</v>
      </c>
      <c r="S7" s="162">
        <f>C7</f>
        <v>92.2</v>
      </c>
      <c r="T7" s="162">
        <v>0</v>
      </c>
      <c r="X7" s="10">
        <f>$X$302+0.01*Q7*COS($Y$307)+0.01*R7*SIN($Y$307)</f>
        <v>274.2595712356873</v>
      </c>
      <c r="Y7" s="10">
        <f>$Y$302-0.01*Q7*SIN($Y$307)+0.01*R7*COS($Y$307)</f>
        <v>452.9476124574761</v>
      </c>
      <c r="Z7" s="10">
        <f>$X$302+0.01*S7*COS($Y$307)+0.01*T7*SIN($Y$307)</f>
        <v>274.3260905620198</v>
      </c>
      <c r="AA7" s="10">
        <f>$Y$302-0.01*S7*SIN($Y$307)+0.01*T7*COS($Y$307)</f>
        <v>452.9200592503258</v>
      </c>
    </row>
    <row r="8" spans="1:27" s="1" customFormat="1" ht="12.75">
      <c r="A8" s="5" t="s">
        <v>17</v>
      </c>
      <c r="B8" s="210">
        <v>95</v>
      </c>
      <c r="C8" s="210">
        <f>B8+30</f>
        <v>125</v>
      </c>
      <c r="D8" s="210">
        <v>55</v>
      </c>
      <c r="E8" s="36" t="s">
        <v>74</v>
      </c>
      <c r="F8" s="4"/>
      <c r="G8" s="2"/>
      <c r="H8" s="2"/>
      <c r="J8" s="10" t="s">
        <v>43</v>
      </c>
      <c r="K8" s="45"/>
      <c r="L8" s="45"/>
      <c r="M8" s="45"/>
      <c r="Q8" s="162">
        <f>B8</f>
        <v>95</v>
      </c>
      <c r="R8" s="162">
        <v>0</v>
      </c>
      <c r="S8" s="162">
        <f>C8</f>
        <v>125</v>
      </c>
      <c r="T8" s="162">
        <v>0</v>
      </c>
      <c r="X8" s="10">
        <f>$X$302+0.01*Q8*COS($Y$307)+0.01*R8*SIN($Y$307)</f>
        <v>274.35195918892686</v>
      </c>
      <c r="Y8" s="10">
        <f>$Y$302-0.01*Q8*SIN($Y$307)+0.01*R8*COS($Y$307)</f>
        <v>452.90934411421176</v>
      </c>
      <c r="Z8" s="10">
        <f>$X$302+0.01*S8*COS($Y$307)+0.01*T8*SIN($Y$307)</f>
        <v>274.6291230486457</v>
      </c>
      <c r="AA8" s="10">
        <f>$Y$302-0.01*S8*SIN($Y$307)+0.01*T8*COS($Y$307)</f>
        <v>452.7945390844187</v>
      </c>
    </row>
    <row r="9" spans="1:27" s="1" customFormat="1" ht="12.75">
      <c r="A9" s="204" t="s">
        <v>29</v>
      </c>
      <c r="B9" s="211"/>
      <c r="C9" s="211"/>
      <c r="D9" s="211"/>
      <c r="E9" s="36" t="s">
        <v>75</v>
      </c>
      <c r="F9" s="4"/>
      <c r="G9" s="2"/>
      <c r="H9" s="2"/>
      <c r="J9" s="10"/>
      <c r="K9" s="44" t="s">
        <v>32</v>
      </c>
      <c r="L9" s="44"/>
      <c r="M9" s="44"/>
      <c r="Q9" s="162"/>
      <c r="R9" s="162"/>
      <c r="S9" s="162"/>
      <c r="T9" s="162"/>
      <c r="X9" s="10">
        <f aca="true" t="shared" si="0" ref="X9:X72">$X$302+0.01*Q9*COS($Y$307)+0.01*R9*SIN($Y$307)</f>
        <v>273.4742736331507</v>
      </c>
      <c r="Y9" s="10">
        <f aca="true" t="shared" si="1" ref="Y9:Y72">$Y$302-0.01*Q9*SIN($Y$307)+0.01*R9*COS($Y$307)</f>
        <v>453.272893375223</v>
      </c>
      <c r="Z9" s="10">
        <f aca="true" t="shared" si="2" ref="Z9:Z72">$X$302+0.01*S9*COS($Y$307)+0.01*T9*SIN($Y$307)</f>
        <v>273.4742736331507</v>
      </c>
      <c r="AA9" s="10">
        <f aca="true" t="shared" si="3" ref="AA9:AA72">$Y$302-0.01*S9*SIN($Y$307)+0.01*T9*COS($Y$307)</f>
        <v>453.272893375223</v>
      </c>
    </row>
    <row r="10" spans="1:27" s="1" customFormat="1" ht="12.75">
      <c r="A10" s="205"/>
      <c r="B10" s="212"/>
      <c r="C10" s="212"/>
      <c r="D10" s="212"/>
      <c r="E10" s="36" t="s">
        <v>76</v>
      </c>
      <c r="F10" s="4"/>
      <c r="G10" s="2"/>
      <c r="H10" s="2"/>
      <c r="J10" s="10"/>
      <c r="K10" s="44" t="s">
        <v>50</v>
      </c>
      <c r="L10" s="44">
        <v>8.9</v>
      </c>
      <c r="M10" s="216">
        <v>0.5</v>
      </c>
      <c r="Q10" s="162"/>
      <c r="R10" s="162"/>
      <c r="S10" s="162"/>
      <c r="T10" s="162"/>
      <c r="X10" s="10">
        <f t="shared" si="0"/>
        <v>273.4742736331507</v>
      </c>
      <c r="Y10" s="10">
        <f t="shared" si="1"/>
        <v>453.272893375223</v>
      </c>
      <c r="Z10" s="10">
        <f t="shared" si="2"/>
        <v>273.4742736331507</v>
      </c>
      <c r="AA10" s="10">
        <f t="shared" si="3"/>
        <v>453.272893375223</v>
      </c>
    </row>
    <row r="11" spans="1:27" s="1" customFormat="1" ht="12.75">
      <c r="A11" s="15" t="s">
        <v>48</v>
      </c>
      <c r="B11" s="42">
        <f>C8</f>
        <v>125</v>
      </c>
      <c r="C11" s="42">
        <f>B11+10</f>
        <v>135</v>
      </c>
      <c r="D11" s="42">
        <v>16</v>
      </c>
      <c r="E11" s="36" t="s">
        <v>212</v>
      </c>
      <c r="F11" s="4"/>
      <c r="G11" s="2"/>
      <c r="H11" s="2"/>
      <c r="J11" s="86" t="s">
        <v>186</v>
      </c>
      <c r="K11" s="44"/>
      <c r="L11" s="44"/>
      <c r="M11" s="232"/>
      <c r="Q11" s="162">
        <f>B11</f>
        <v>125</v>
      </c>
      <c r="R11" s="162">
        <v>0</v>
      </c>
      <c r="S11" s="162">
        <f>C11</f>
        <v>135</v>
      </c>
      <c r="T11" s="162">
        <v>0</v>
      </c>
      <c r="X11" s="10">
        <f t="shared" si="0"/>
        <v>274.6291230486457</v>
      </c>
      <c r="Y11" s="10">
        <f t="shared" si="1"/>
        <v>452.7945390844187</v>
      </c>
      <c r="Z11" s="10">
        <f t="shared" si="2"/>
        <v>274.7215110018853</v>
      </c>
      <c r="AA11" s="10">
        <f t="shared" si="3"/>
        <v>452.75627074115437</v>
      </c>
    </row>
    <row r="12" spans="1:27" s="1" customFormat="1" ht="12.75">
      <c r="A12" s="58" t="s">
        <v>18</v>
      </c>
      <c r="B12" s="210">
        <f>C11</f>
        <v>135</v>
      </c>
      <c r="C12" s="210">
        <f>B12+40</f>
        <v>175</v>
      </c>
      <c r="D12" s="210">
        <v>40</v>
      </c>
      <c r="E12" s="36" t="s">
        <v>77</v>
      </c>
      <c r="F12" s="4"/>
      <c r="G12" s="2"/>
      <c r="H12" s="2"/>
      <c r="J12" s="16"/>
      <c r="K12" s="44" t="s">
        <v>51</v>
      </c>
      <c r="L12" s="44">
        <v>8.4</v>
      </c>
      <c r="M12" s="217"/>
      <c r="Q12" s="162">
        <f>B12</f>
        <v>135</v>
      </c>
      <c r="R12" s="162">
        <v>0</v>
      </c>
      <c r="S12" s="162">
        <f>C12</f>
        <v>175</v>
      </c>
      <c r="T12" s="162">
        <v>0</v>
      </c>
      <c r="X12" s="10">
        <f t="shared" si="0"/>
        <v>274.7215110018853</v>
      </c>
      <c r="Y12" s="10">
        <f t="shared" si="1"/>
        <v>452.75627074115437</v>
      </c>
      <c r="Z12" s="10">
        <f t="shared" si="2"/>
        <v>275.09106281484367</v>
      </c>
      <c r="AA12" s="10">
        <f t="shared" si="3"/>
        <v>452.603197368097</v>
      </c>
    </row>
    <row r="13" spans="1:27" s="1" customFormat="1" ht="12.75">
      <c r="A13" s="39" t="s">
        <v>16</v>
      </c>
      <c r="B13" s="211"/>
      <c r="C13" s="211"/>
      <c r="D13" s="211"/>
      <c r="E13" s="36" t="s">
        <v>78</v>
      </c>
      <c r="F13" s="4"/>
      <c r="G13" s="2"/>
      <c r="H13" s="2"/>
      <c r="J13" s="10"/>
      <c r="Q13" s="162"/>
      <c r="R13" s="162"/>
      <c r="S13" s="162"/>
      <c r="T13" s="162"/>
      <c r="X13" s="10">
        <f t="shared" si="0"/>
        <v>273.4742736331507</v>
      </c>
      <c r="Y13" s="10">
        <f t="shared" si="1"/>
        <v>453.272893375223</v>
      </c>
      <c r="Z13" s="10">
        <f t="shared" si="2"/>
        <v>273.4742736331507</v>
      </c>
      <c r="AA13" s="10">
        <f t="shared" si="3"/>
        <v>453.272893375223</v>
      </c>
    </row>
    <row r="14" spans="1:27" s="1" customFormat="1" ht="12.75">
      <c r="A14" s="40" t="s">
        <v>21</v>
      </c>
      <c r="B14" s="211"/>
      <c r="C14" s="211"/>
      <c r="D14" s="211"/>
      <c r="E14" s="36" t="s">
        <v>259</v>
      </c>
      <c r="F14" s="4"/>
      <c r="G14" s="2"/>
      <c r="H14" s="2"/>
      <c r="J14" s="10"/>
      <c r="K14" s="43" t="s">
        <v>53</v>
      </c>
      <c r="L14" s="43"/>
      <c r="Q14" s="162"/>
      <c r="R14" s="162"/>
      <c r="S14" s="162"/>
      <c r="T14" s="162"/>
      <c r="X14" s="10">
        <f t="shared" si="0"/>
        <v>273.4742736331507</v>
      </c>
      <c r="Y14" s="10">
        <f t="shared" si="1"/>
        <v>453.272893375223</v>
      </c>
      <c r="Z14" s="10">
        <f t="shared" si="2"/>
        <v>273.4742736331507</v>
      </c>
      <c r="AA14" s="10">
        <f t="shared" si="3"/>
        <v>453.272893375223</v>
      </c>
    </row>
    <row r="15" spans="1:27" s="1" customFormat="1" ht="12.75">
      <c r="A15" s="39" t="s">
        <v>22</v>
      </c>
      <c r="B15" s="211"/>
      <c r="C15" s="211"/>
      <c r="D15" s="211"/>
      <c r="E15" s="36" t="s">
        <v>79</v>
      </c>
      <c r="F15" s="4"/>
      <c r="G15" s="2"/>
      <c r="H15" s="2"/>
      <c r="J15" s="10" t="s">
        <v>45</v>
      </c>
      <c r="K15" s="43" t="s">
        <v>54</v>
      </c>
      <c r="L15" s="43">
        <v>0.7</v>
      </c>
      <c r="Q15" s="162"/>
      <c r="R15" s="162"/>
      <c r="S15" s="162"/>
      <c r="T15" s="162"/>
      <c r="X15" s="10">
        <f t="shared" si="0"/>
        <v>273.4742736331507</v>
      </c>
      <c r="Y15" s="10">
        <f t="shared" si="1"/>
        <v>453.272893375223</v>
      </c>
      <c r="Z15" s="10">
        <f t="shared" si="2"/>
        <v>273.4742736331507</v>
      </c>
      <c r="AA15" s="10">
        <f t="shared" si="3"/>
        <v>453.272893375223</v>
      </c>
    </row>
    <row r="16" spans="1:27" s="1" customFormat="1" ht="12.75">
      <c r="A16" s="39" t="s">
        <v>23</v>
      </c>
      <c r="B16" s="211"/>
      <c r="C16" s="211"/>
      <c r="D16" s="211"/>
      <c r="E16" s="36" t="s">
        <v>80</v>
      </c>
      <c r="F16" s="4"/>
      <c r="G16" s="2"/>
      <c r="H16" s="2"/>
      <c r="J16" s="10"/>
      <c r="K16" s="190" t="s">
        <v>55</v>
      </c>
      <c r="L16" s="190"/>
      <c r="Q16" s="162"/>
      <c r="R16" s="162"/>
      <c r="S16" s="162"/>
      <c r="T16" s="162"/>
      <c r="X16" s="10">
        <f t="shared" si="0"/>
        <v>273.4742736331507</v>
      </c>
      <c r="Y16" s="10">
        <f t="shared" si="1"/>
        <v>453.272893375223</v>
      </c>
      <c r="Z16" s="10">
        <f t="shared" si="2"/>
        <v>273.4742736331507</v>
      </c>
      <c r="AA16" s="10">
        <f t="shared" si="3"/>
        <v>453.272893375223</v>
      </c>
    </row>
    <row r="17" spans="1:27" s="1" customFormat="1" ht="12.75">
      <c r="A17" s="39" t="s">
        <v>23</v>
      </c>
      <c r="B17" s="212"/>
      <c r="C17" s="212"/>
      <c r="D17" s="212"/>
      <c r="E17" s="36" t="s">
        <v>81</v>
      </c>
      <c r="F17" s="4"/>
      <c r="G17" s="2"/>
      <c r="H17" s="2"/>
      <c r="J17" s="10"/>
      <c r="Q17" s="162"/>
      <c r="R17" s="162"/>
      <c r="S17" s="162"/>
      <c r="T17" s="162"/>
      <c r="X17" s="10">
        <f t="shared" si="0"/>
        <v>273.4742736331507</v>
      </c>
      <c r="Y17" s="10">
        <f t="shared" si="1"/>
        <v>453.272893375223</v>
      </c>
      <c r="Z17" s="10">
        <f t="shared" si="2"/>
        <v>273.4742736331507</v>
      </c>
      <c r="AA17" s="10">
        <f t="shared" si="3"/>
        <v>453.272893375223</v>
      </c>
    </row>
    <row r="18" spans="1:27" s="1" customFormat="1" ht="12.75">
      <c r="A18" s="5" t="s">
        <v>48</v>
      </c>
      <c r="B18" s="38">
        <f>C12</f>
        <v>175</v>
      </c>
      <c r="C18" s="38">
        <f>B18+10</f>
        <v>185</v>
      </c>
      <c r="D18" s="38">
        <v>16</v>
      </c>
      <c r="E18" s="36" t="s">
        <v>213</v>
      </c>
      <c r="F18" s="4"/>
      <c r="G18" s="2"/>
      <c r="H18" s="2"/>
      <c r="J18" s="10"/>
      <c r="Q18" s="162">
        <f>B18</f>
        <v>175</v>
      </c>
      <c r="R18" s="162">
        <v>0</v>
      </c>
      <c r="S18" s="162">
        <f>C18</f>
        <v>185</v>
      </c>
      <c r="T18" s="162">
        <v>0</v>
      </c>
      <c r="X18" s="10">
        <f t="shared" si="0"/>
        <v>275.09106281484367</v>
      </c>
      <c r="Y18" s="10">
        <f t="shared" si="1"/>
        <v>452.603197368097</v>
      </c>
      <c r="Z18" s="10">
        <f t="shared" si="2"/>
        <v>275.1834507680833</v>
      </c>
      <c r="AA18" s="10">
        <f t="shared" si="3"/>
        <v>452.5649290248327</v>
      </c>
    </row>
    <row r="19" spans="1:27" s="1" customFormat="1" ht="12.75">
      <c r="A19" s="5" t="s">
        <v>17</v>
      </c>
      <c r="B19" s="210">
        <f>C18</f>
        <v>185</v>
      </c>
      <c r="C19" s="210">
        <f>B19+30</f>
        <v>215</v>
      </c>
      <c r="D19" s="210">
        <v>55</v>
      </c>
      <c r="E19" s="36" t="s">
        <v>82</v>
      </c>
      <c r="F19" s="4"/>
      <c r="G19" s="2"/>
      <c r="H19" s="2"/>
      <c r="J19" s="10" t="s">
        <v>20</v>
      </c>
      <c r="Q19" s="162">
        <f>B19</f>
        <v>185</v>
      </c>
      <c r="R19" s="162">
        <v>0</v>
      </c>
      <c r="S19" s="162">
        <f>C19</f>
        <v>215</v>
      </c>
      <c r="T19" s="162">
        <v>0</v>
      </c>
      <c r="X19" s="10">
        <f t="shared" si="0"/>
        <v>275.1834507680833</v>
      </c>
      <c r="Y19" s="10">
        <f t="shared" si="1"/>
        <v>452.5649290248327</v>
      </c>
      <c r="Z19" s="10">
        <f t="shared" si="2"/>
        <v>275.4606146278021</v>
      </c>
      <c r="AA19" s="10">
        <f t="shared" si="3"/>
        <v>452.45012399503963</v>
      </c>
    </row>
    <row r="20" spans="1:27" s="1" customFormat="1" ht="12.75">
      <c r="A20" s="204" t="s">
        <v>29</v>
      </c>
      <c r="B20" s="211"/>
      <c r="C20" s="211"/>
      <c r="D20" s="211"/>
      <c r="E20" s="36" t="s">
        <v>83</v>
      </c>
      <c r="F20" s="4"/>
      <c r="G20" s="2"/>
      <c r="H20" s="2"/>
      <c r="J20" s="10"/>
      <c r="K20" s="44" t="s">
        <v>37</v>
      </c>
      <c r="L20" s="44"/>
      <c r="M20" s="44"/>
      <c r="Q20" s="162"/>
      <c r="R20" s="162"/>
      <c r="S20" s="162"/>
      <c r="T20" s="162"/>
      <c r="X20" s="10">
        <f t="shared" si="0"/>
        <v>273.4742736331507</v>
      </c>
      <c r="Y20" s="10">
        <f t="shared" si="1"/>
        <v>453.272893375223</v>
      </c>
      <c r="Z20" s="10">
        <f t="shared" si="2"/>
        <v>273.4742736331507</v>
      </c>
      <c r="AA20" s="10">
        <f t="shared" si="3"/>
        <v>453.272893375223</v>
      </c>
    </row>
    <row r="21" spans="1:27" s="1" customFormat="1" ht="12.75">
      <c r="A21" s="205"/>
      <c r="B21" s="212"/>
      <c r="C21" s="212"/>
      <c r="D21" s="212"/>
      <c r="E21" s="36" t="s">
        <v>84</v>
      </c>
      <c r="F21" s="4"/>
      <c r="G21" s="2"/>
      <c r="H21" s="2"/>
      <c r="J21" s="10"/>
      <c r="K21" s="44" t="s">
        <v>50</v>
      </c>
      <c r="L21" s="44">
        <v>25.7</v>
      </c>
      <c r="M21" s="216">
        <v>7.8</v>
      </c>
      <c r="Q21" s="162"/>
      <c r="R21" s="162"/>
      <c r="S21" s="162"/>
      <c r="T21" s="162"/>
      <c r="X21" s="10">
        <f t="shared" si="0"/>
        <v>273.4742736331507</v>
      </c>
      <c r="Y21" s="10">
        <f t="shared" si="1"/>
        <v>453.272893375223</v>
      </c>
      <c r="Z21" s="10">
        <f t="shared" si="2"/>
        <v>273.4742736331507</v>
      </c>
      <c r="AA21" s="10">
        <f t="shared" si="3"/>
        <v>453.272893375223</v>
      </c>
    </row>
    <row r="22" spans="1:27" s="1" customFormat="1" ht="12.75">
      <c r="A22" s="5" t="s">
        <v>24</v>
      </c>
      <c r="B22" s="30">
        <f>C19</f>
        <v>215</v>
      </c>
      <c r="C22" s="30">
        <f>B22+37.7</f>
        <v>252.7</v>
      </c>
      <c r="D22" s="30" t="s">
        <v>61</v>
      </c>
      <c r="E22" s="36" t="s">
        <v>85</v>
      </c>
      <c r="F22" s="4"/>
      <c r="G22" s="2"/>
      <c r="H22" s="2"/>
      <c r="J22" s="10" t="s">
        <v>46</v>
      </c>
      <c r="K22" s="44"/>
      <c r="L22" s="44"/>
      <c r="M22" s="232"/>
      <c r="Q22" s="162">
        <f>B22</f>
        <v>215</v>
      </c>
      <c r="R22" s="162">
        <v>0</v>
      </c>
      <c r="S22" s="162">
        <f>C22</f>
        <v>252.7</v>
      </c>
      <c r="T22" s="162">
        <v>0</v>
      </c>
      <c r="X22" s="10">
        <f t="shared" si="0"/>
        <v>275.4606146278021</v>
      </c>
      <c r="Y22" s="10">
        <f t="shared" si="1"/>
        <v>452.45012399503963</v>
      </c>
      <c r="Z22" s="10">
        <f t="shared" si="2"/>
        <v>275.80891721151534</v>
      </c>
      <c r="AA22" s="10">
        <f t="shared" si="3"/>
        <v>452.3058523409331</v>
      </c>
    </row>
    <row r="23" spans="1:27" s="1" customFormat="1" ht="12.75">
      <c r="A23" s="58" t="s">
        <v>224</v>
      </c>
      <c r="B23" s="30">
        <f>C23-10</f>
        <v>242.7</v>
      </c>
      <c r="C23" s="30">
        <f>B24</f>
        <v>252.7</v>
      </c>
      <c r="D23" s="30">
        <v>50</v>
      </c>
      <c r="E23" s="36" t="s">
        <v>86</v>
      </c>
      <c r="F23" s="4"/>
      <c r="G23" s="2"/>
      <c r="H23" s="2"/>
      <c r="J23" s="10" t="s">
        <v>26</v>
      </c>
      <c r="K23" s="44" t="s">
        <v>51</v>
      </c>
      <c r="L23" s="44">
        <v>17.9</v>
      </c>
      <c r="M23" s="217"/>
      <c r="Q23" s="162">
        <f>B23</f>
        <v>242.7</v>
      </c>
      <c r="R23" s="162">
        <v>0</v>
      </c>
      <c r="S23" s="162">
        <f>C23</f>
        <v>252.7</v>
      </c>
      <c r="T23" s="162">
        <v>0</v>
      </c>
      <c r="X23" s="10">
        <f t="shared" si="0"/>
        <v>275.7165292582758</v>
      </c>
      <c r="Y23" s="10">
        <f t="shared" si="1"/>
        <v>452.34412068419743</v>
      </c>
      <c r="Z23" s="10">
        <f t="shared" si="2"/>
        <v>275.80891721151534</v>
      </c>
      <c r="AA23" s="10">
        <f t="shared" si="3"/>
        <v>452.3058523409331</v>
      </c>
    </row>
    <row r="24" spans="1:27" s="1" customFormat="1" ht="12.75">
      <c r="A24" s="46" t="s">
        <v>25</v>
      </c>
      <c r="B24" s="30">
        <f>C22</f>
        <v>252.7</v>
      </c>
      <c r="C24" s="30">
        <f>B24+320</f>
        <v>572.7</v>
      </c>
      <c r="D24" s="30">
        <v>40</v>
      </c>
      <c r="E24" s="36" t="s">
        <v>87</v>
      </c>
      <c r="F24" s="4"/>
      <c r="G24" s="2"/>
      <c r="H24" s="2"/>
      <c r="I24" s="1" t="s">
        <v>28</v>
      </c>
      <c r="J24" s="10" t="s">
        <v>27</v>
      </c>
      <c r="K24" s="1" t="s">
        <v>28</v>
      </c>
      <c r="N24" s="1">
        <f>($S$291-(B24+C24)/2)/100</f>
        <v>27.910503300000002</v>
      </c>
      <c r="Q24" s="162">
        <f>B24</f>
        <v>252.7</v>
      </c>
      <c r="R24" s="162">
        <v>0</v>
      </c>
      <c r="S24" s="162">
        <f>C24</f>
        <v>572.7</v>
      </c>
      <c r="T24" s="162">
        <v>0</v>
      </c>
      <c r="X24" s="10">
        <f t="shared" si="0"/>
        <v>275.80891721151534</v>
      </c>
      <c r="Y24" s="10">
        <f t="shared" si="1"/>
        <v>452.3058523409331</v>
      </c>
      <c r="Z24" s="10">
        <f t="shared" si="2"/>
        <v>278.7653317151825</v>
      </c>
      <c r="AA24" s="10">
        <f t="shared" si="3"/>
        <v>451.0812653564741</v>
      </c>
    </row>
    <row r="25" spans="1:27" s="1" customFormat="1" ht="12.75">
      <c r="A25" s="206" t="s">
        <v>29</v>
      </c>
      <c r="B25" s="186">
        <f>C24</f>
        <v>572.7</v>
      </c>
      <c r="C25" s="186">
        <f>B25+10</f>
        <v>582.7</v>
      </c>
      <c r="D25" s="186">
        <v>10</v>
      </c>
      <c r="E25" s="36" t="s">
        <v>88</v>
      </c>
      <c r="F25" s="4"/>
      <c r="G25" s="2"/>
      <c r="H25" s="2"/>
      <c r="J25" s="10" t="s">
        <v>56</v>
      </c>
      <c r="Q25" s="162">
        <f>B25</f>
        <v>572.7</v>
      </c>
      <c r="R25" s="162">
        <v>0</v>
      </c>
      <c r="S25" s="162">
        <f>C25</f>
        <v>582.7</v>
      </c>
      <c r="T25" s="162">
        <v>0</v>
      </c>
      <c r="X25" s="10">
        <f t="shared" si="0"/>
        <v>278.7653317151825</v>
      </c>
      <c r="Y25" s="10">
        <f t="shared" si="1"/>
        <v>451.0812653564741</v>
      </c>
      <c r="Z25" s="10">
        <f t="shared" si="2"/>
        <v>278.85771966842213</v>
      </c>
      <c r="AA25" s="10">
        <f t="shared" si="3"/>
        <v>451.04299701320974</v>
      </c>
    </row>
    <row r="26" spans="1:27" s="1" customFormat="1" ht="12.75">
      <c r="A26" s="207"/>
      <c r="B26" s="187"/>
      <c r="C26" s="187"/>
      <c r="D26" s="187"/>
      <c r="E26" s="36" t="s">
        <v>89</v>
      </c>
      <c r="F26" s="4"/>
      <c r="G26" s="2"/>
      <c r="H26" s="2"/>
      <c r="J26" s="10"/>
      <c r="Q26" s="162"/>
      <c r="R26" s="162"/>
      <c r="S26" s="162"/>
      <c r="T26" s="162"/>
      <c r="X26" s="10">
        <f t="shared" si="0"/>
        <v>273.4742736331507</v>
      </c>
      <c r="Y26" s="10">
        <f t="shared" si="1"/>
        <v>453.272893375223</v>
      </c>
      <c r="Z26" s="10">
        <f t="shared" si="2"/>
        <v>273.4742736331507</v>
      </c>
      <c r="AA26" s="10">
        <f t="shared" si="3"/>
        <v>453.272893375223</v>
      </c>
    </row>
    <row r="27" spans="1:27" s="1" customFormat="1" ht="12.75">
      <c r="A27" s="48" t="s">
        <v>31</v>
      </c>
      <c r="B27" s="31">
        <f>C24-2+13-0.5*$M$3</f>
        <v>583.45</v>
      </c>
      <c r="C27" s="31">
        <f>B27+$L$3</f>
        <v>588.5500000000001</v>
      </c>
      <c r="D27" s="31">
        <v>18</v>
      </c>
      <c r="E27" s="36" t="s">
        <v>90</v>
      </c>
      <c r="F27" s="4"/>
      <c r="G27" s="2"/>
      <c r="H27" s="2"/>
      <c r="I27" s="1" t="s">
        <v>28</v>
      </c>
      <c r="J27" s="10" t="s">
        <v>49</v>
      </c>
      <c r="Q27" s="162">
        <f>B27</f>
        <v>583.45</v>
      </c>
      <c r="R27" s="162">
        <v>0</v>
      </c>
      <c r="S27" s="162">
        <f>C27</f>
        <v>588.5500000000001</v>
      </c>
      <c r="T27" s="162">
        <v>0</v>
      </c>
      <c r="X27" s="10">
        <f t="shared" si="0"/>
        <v>278.8646487649151</v>
      </c>
      <c r="Y27" s="10">
        <f t="shared" si="1"/>
        <v>451.0401268874649</v>
      </c>
      <c r="Z27" s="10">
        <f t="shared" si="2"/>
        <v>278.91176662106733</v>
      </c>
      <c r="AA27" s="10">
        <f t="shared" si="3"/>
        <v>451.0206100324001</v>
      </c>
    </row>
    <row r="28" spans="1:27" s="1" customFormat="1" ht="12.75">
      <c r="A28" s="48" t="s">
        <v>32</v>
      </c>
      <c r="B28" s="31">
        <f>C27+1.8-0.5*($M$3+$M$10)</f>
        <v>589.85</v>
      </c>
      <c r="C28" s="31">
        <f>B28+$L$10</f>
        <v>598.75</v>
      </c>
      <c r="D28" s="31">
        <v>18</v>
      </c>
      <c r="E28" s="36" t="s">
        <v>91</v>
      </c>
      <c r="F28" s="4"/>
      <c r="G28" s="2"/>
      <c r="H28" s="2"/>
      <c r="J28" s="10"/>
      <c r="O28" s="1">
        <f>($S$291-(B28+C28)/2)/100</f>
        <v>26.094503300000007</v>
      </c>
      <c r="Q28" s="162">
        <f>B28</f>
        <v>589.85</v>
      </c>
      <c r="R28" s="162">
        <v>0</v>
      </c>
      <c r="S28" s="162">
        <f>C28</f>
        <v>598.75</v>
      </c>
      <c r="T28" s="162">
        <v>0</v>
      </c>
      <c r="X28" s="10">
        <f t="shared" si="0"/>
        <v>278.9237770549885</v>
      </c>
      <c r="Y28" s="10">
        <f t="shared" si="1"/>
        <v>451.01563514777575</v>
      </c>
      <c r="Z28" s="10">
        <f t="shared" si="2"/>
        <v>279.0060023333717</v>
      </c>
      <c r="AA28" s="10">
        <f t="shared" si="3"/>
        <v>450.9815763222705</v>
      </c>
    </row>
    <row r="29" spans="1:27" s="1" customFormat="1" ht="12.75">
      <c r="A29" s="48" t="s">
        <v>31</v>
      </c>
      <c r="B29" s="31">
        <f>C28+1.8-0.5*($M$3+$M$10)</f>
        <v>600.05</v>
      </c>
      <c r="C29" s="31">
        <f>B29+$L$3</f>
        <v>605.15</v>
      </c>
      <c r="D29" s="31">
        <v>18</v>
      </c>
      <c r="E29" s="36" t="s">
        <v>92</v>
      </c>
      <c r="F29" s="4"/>
      <c r="G29" s="2"/>
      <c r="H29" s="2"/>
      <c r="I29" s="1" t="s">
        <v>28</v>
      </c>
      <c r="J29" s="10" t="s">
        <v>47</v>
      </c>
      <c r="P29" s="1">
        <f>($S$291-C29-250)/100</f>
        <v>23.486003300000004</v>
      </c>
      <c r="Q29" s="162">
        <f>B29</f>
        <v>600.05</v>
      </c>
      <c r="R29" s="162">
        <v>0</v>
      </c>
      <c r="S29" s="162">
        <f>C29</f>
        <v>605.15</v>
      </c>
      <c r="T29" s="162">
        <v>0</v>
      </c>
      <c r="X29" s="10">
        <f t="shared" si="0"/>
        <v>279.0180127672929</v>
      </c>
      <c r="Y29" s="10">
        <f t="shared" si="1"/>
        <v>450.9766014376461</v>
      </c>
      <c r="Z29" s="10">
        <f t="shared" si="2"/>
        <v>279.06513062344504</v>
      </c>
      <c r="AA29" s="10">
        <f t="shared" si="3"/>
        <v>450.9570845825813</v>
      </c>
    </row>
    <row r="30" spans="1:27" s="1" customFormat="1" ht="12.75">
      <c r="A30" s="61" t="s">
        <v>58</v>
      </c>
      <c r="B30" s="55">
        <f>C29</f>
        <v>605.15</v>
      </c>
      <c r="C30" s="55">
        <f>B30+7.2</f>
        <v>612.35</v>
      </c>
      <c r="D30" s="55" t="s">
        <v>60</v>
      </c>
      <c r="E30" s="180" t="s">
        <v>73</v>
      </c>
      <c r="F30" s="4"/>
      <c r="G30" s="2"/>
      <c r="H30" s="2"/>
      <c r="J30" s="10" t="s">
        <v>59</v>
      </c>
      <c r="Q30" s="162">
        <f>B30</f>
        <v>605.15</v>
      </c>
      <c r="R30" s="162">
        <v>0</v>
      </c>
      <c r="S30" s="162">
        <f>C30</f>
        <v>612.35</v>
      </c>
      <c r="T30" s="162">
        <v>0</v>
      </c>
      <c r="X30" s="10">
        <f t="shared" si="0"/>
        <v>279.06513062344504</v>
      </c>
      <c r="Y30" s="10">
        <f t="shared" si="1"/>
        <v>450.9570845825813</v>
      </c>
      <c r="Z30" s="10">
        <f t="shared" si="2"/>
        <v>279.13164994977757</v>
      </c>
      <c r="AA30" s="10">
        <f t="shared" si="3"/>
        <v>450.92953137543094</v>
      </c>
    </row>
    <row r="31" spans="1:27" ht="12.75">
      <c r="A31" s="200" t="s">
        <v>5</v>
      </c>
      <c r="B31" s="210">
        <f>G31-I31/2-$L$15</f>
        <v>614.0124</v>
      </c>
      <c r="C31" s="210">
        <f>G32+I32/2+$L$15</f>
        <v>621.1161500000001</v>
      </c>
      <c r="D31" s="210">
        <v>40</v>
      </c>
      <c r="E31" s="208" t="s">
        <v>94</v>
      </c>
      <c r="F31" s="3">
        <v>44.9951</v>
      </c>
      <c r="G31" s="8">
        <f>C24-2+F31</f>
        <v>615.6951</v>
      </c>
      <c r="H31" s="3">
        <v>1</v>
      </c>
      <c r="I31" s="50">
        <v>1.9654</v>
      </c>
      <c r="J31" s="11" t="s">
        <v>49</v>
      </c>
      <c r="N31" s="1">
        <f>($S$291-(B31+C31)/2)/100</f>
        <v>25.861860550000003</v>
      </c>
      <c r="O31" s="1"/>
      <c r="P31" s="1"/>
      <c r="Q31" s="162">
        <f>B31</f>
        <v>614.0124</v>
      </c>
      <c r="R31" s="162">
        <v>0</v>
      </c>
      <c r="S31" s="162">
        <f>C31</f>
        <v>621.1161500000001</v>
      </c>
      <c r="T31" s="162">
        <v>0</v>
      </c>
      <c r="X31" s="10">
        <f t="shared" si="0"/>
        <v>279.1470085231241</v>
      </c>
      <c r="Y31" s="10">
        <f t="shared" si="1"/>
        <v>450.9231696460467</v>
      </c>
      <c r="Z31" s="10">
        <f t="shared" si="2"/>
        <v>279.21263861540666</v>
      </c>
      <c r="AA31" s="10">
        <f t="shared" si="3"/>
        <v>450.8959847717003</v>
      </c>
    </row>
    <row r="32" spans="1:27" ht="12.75">
      <c r="A32" s="200"/>
      <c r="B32" s="212"/>
      <c r="C32" s="212"/>
      <c r="D32" s="212"/>
      <c r="E32" s="209"/>
      <c r="F32" s="3">
        <v>3.6981</v>
      </c>
      <c r="G32" s="8">
        <f>G31+F32</f>
        <v>619.3932</v>
      </c>
      <c r="H32" s="3">
        <v>2</v>
      </c>
      <c r="I32" s="50">
        <v>2.0459</v>
      </c>
      <c r="J32" s="11"/>
      <c r="Q32" s="162"/>
      <c r="R32" s="162"/>
      <c r="S32" s="162"/>
      <c r="T32" s="162"/>
      <c r="X32" s="10">
        <f t="shared" si="0"/>
        <v>273.4742736331507</v>
      </c>
      <c r="Y32" s="10">
        <f t="shared" si="1"/>
        <v>453.272893375223</v>
      </c>
      <c r="Z32" s="10">
        <f t="shared" si="2"/>
        <v>273.4742736331507</v>
      </c>
      <c r="AA32" s="10">
        <f t="shared" si="3"/>
        <v>453.272893375223</v>
      </c>
    </row>
    <row r="33" spans="1:27" ht="12.75">
      <c r="A33" s="58" t="s">
        <v>30</v>
      </c>
      <c r="B33" s="32">
        <f>C31</f>
        <v>621.1161500000001</v>
      </c>
      <c r="C33" s="32">
        <f>B33+4</f>
        <v>625.1161500000001</v>
      </c>
      <c r="D33" s="66">
        <v>3</v>
      </c>
      <c r="E33" s="80" t="s">
        <v>95</v>
      </c>
      <c r="F33" s="18"/>
      <c r="G33" s="8"/>
      <c r="H33" s="3"/>
      <c r="I33" s="65"/>
      <c r="J33" s="11"/>
      <c r="Q33" s="162">
        <f>B33</f>
        <v>621.1161500000001</v>
      </c>
      <c r="R33" s="162">
        <v>0</v>
      </c>
      <c r="S33" s="162">
        <f>C33</f>
        <v>625.1161500000001</v>
      </c>
      <c r="T33" s="162">
        <v>0</v>
      </c>
      <c r="X33" s="10">
        <f t="shared" si="0"/>
        <v>279.21263861540666</v>
      </c>
      <c r="Y33" s="10">
        <f t="shared" si="1"/>
        <v>450.8959847717003</v>
      </c>
      <c r="Z33" s="10">
        <f t="shared" si="2"/>
        <v>279.2495937967025</v>
      </c>
      <c r="AA33" s="10">
        <f t="shared" si="3"/>
        <v>450.88067743439456</v>
      </c>
    </row>
    <row r="34" spans="1:27" ht="12.75">
      <c r="A34" s="59" t="s">
        <v>224</v>
      </c>
      <c r="B34" s="12">
        <f>C33</f>
        <v>625.1161500000001</v>
      </c>
      <c r="C34" s="12">
        <f>B34+9</f>
        <v>634.1161500000001</v>
      </c>
      <c r="D34" s="25">
        <v>3.5</v>
      </c>
      <c r="E34" s="81" t="s">
        <v>96</v>
      </c>
      <c r="F34" s="7"/>
      <c r="G34" s="8"/>
      <c r="H34" s="3"/>
      <c r="I34" s="51"/>
      <c r="J34" s="11" t="s">
        <v>56</v>
      </c>
      <c r="L34" s="6"/>
      <c r="Q34" s="162">
        <f>B34</f>
        <v>625.1161500000001</v>
      </c>
      <c r="R34" s="162">
        <v>0</v>
      </c>
      <c r="S34" s="162">
        <f>C34</f>
        <v>634.1161500000001</v>
      </c>
      <c r="T34" s="162">
        <v>0</v>
      </c>
      <c r="X34" s="10">
        <f t="shared" si="0"/>
        <v>279.2495937967025</v>
      </c>
      <c r="Y34" s="10">
        <f t="shared" si="1"/>
        <v>450.88067743439456</v>
      </c>
      <c r="Z34" s="10">
        <f t="shared" si="2"/>
        <v>279.33274295461814</v>
      </c>
      <c r="AA34" s="10">
        <f t="shared" si="3"/>
        <v>450.84623592545665</v>
      </c>
    </row>
    <row r="35" spans="1:27" ht="12.75">
      <c r="A35" s="48" t="s">
        <v>31</v>
      </c>
      <c r="B35" s="12">
        <f>G32+15-0.5*$M$3</f>
        <v>634.1432</v>
      </c>
      <c r="C35" s="12">
        <f>B35+$L$3</f>
        <v>639.2432</v>
      </c>
      <c r="D35" s="25">
        <v>18</v>
      </c>
      <c r="E35" s="81" t="s">
        <v>97</v>
      </c>
      <c r="F35" s="7"/>
      <c r="G35" s="8"/>
      <c r="H35" s="3"/>
      <c r="I35" s="51"/>
      <c r="J35" s="11"/>
      <c r="O35" s="1">
        <f>($S$291-(B35+C35)/2)/100</f>
        <v>25.670571300000002</v>
      </c>
      <c r="Q35" s="162">
        <f>B35</f>
        <v>634.1432</v>
      </c>
      <c r="R35" s="162">
        <v>0</v>
      </c>
      <c r="S35" s="162">
        <f>C35</f>
        <v>639.2432</v>
      </c>
      <c r="T35" s="162">
        <v>0</v>
      </c>
      <c r="X35" s="10">
        <f t="shared" si="0"/>
        <v>279.33299286403167</v>
      </c>
      <c r="Y35" s="10">
        <f t="shared" si="1"/>
        <v>450.8461324095881</v>
      </c>
      <c r="Z35" s="10">
        <f t="shared" si="2"/>
        <v>279.3801107201839</v>
      </c>
      <c r="AA35" s="10">
        <f t="shared" si="3"/>
        <v>450.8266155545233</v>
      </c>
    </row>
    <row r="36" spans="1:27" ht="12.75">
      <c r="A36" s="48" t="s">
        <v>31</v>
      </c>
      <c r="B36" s="12">
        <f>C35+1.8-$M$3</f>
        <v>640.5432</v>
      </c>
      <c r="C36" s="12">
        <f>B36+$L$3</f>
        <v>645.6432</v>
      </c>
      <c r="D36" s="25">
        <v>18</v>
      </c>
      <c r="E36" s="81" t="s">
        <v>98</v>
      </c>
      <c r="F36" s="7"/>
      <c r="G36" s="8"/>
      <c r="H36" s="3"/>
      <c r="I36" s="51"/>
      <c r="J36" s="11"/>
      <c r="P36" s="1">
        <f>($S$291-C36-250)/100</f>
        <v>23.081071300000005</v>
      </c>
      <c r="Q36" s="162">
        <f>B36</f>
        <v>640.5432</v>
      </c>
      <c r="R36" s="162">
        <v>0</v>
      </c>
      <c r="S36" s="162">
        <f>C36</f>
        <v>645.6432</v>
      </c>
      <c r="T36" s="162">
        <v>0</v>
      </c>
      <c r="X36" s="10">
        <f t="shared" si="0"/>
        <v>279.39212115410504</v>
      </c>
      <c r="Y36" s="10">
        <f t="shared" si="1"/>
        <v>450.82164066989895</v>
      </c>
      <c r="Z36" s="10">
        <f t="shared" si="2"/>
        <v>279.4392390102572</v>
      </c>
      <c r="AA36" s="10">
        <f t="shared" si="3"/>
        <v>450.80212381483415</v>
      </c>
    </row>
    <row r="37" spans="1:27" ht="12.75">
      <c r="A37" s="201" t="s">
        <v>6</v>
      </c>
      <c r="B37" s="210">
        <f>G37-I37/2-$L$15</f>
        <v>649.69035</v>
      </c>
      <c r="C37" s="210">
        <f>G46+I46/2+$L15</f>
        <v>694.1456500000002</v>
      </c>
      <c r="D37" s="210">
        <v>45</v>
      </c>
      <c r="E37" s="208" t="s">
        <v>99</v>
      </c>
      <c r="F37" s="3">
        <v>32</v>
      </c>
      <c r="G37" s="8">
        <f>G32+F37</f>
        <v>651.3932</v>
      </c>
      <c r="H37" s="3">
        <v>3</v>
      </c>
      <c r="I37" s="50">
        <v>2.0057</v>
      </c>
      <c r="J37" s="11"/>
      <c r="Q37" s="162">
        <f>B37</f>
        <v>649.69035</v>
      </c>
      <c r="R37" s="162">
        <v>0</v>
      </c>
      <c r="S37" s="162">
        <f>C37</f>
        <v>694.1456500000002</v>
      </c>
      <c r="T37" s="162">
        <v>0</v>
      </c>
      <c r="X37" s="10">
        <f t="shared" si="0"/>
        <v>279.47662980075256</v>
      </c>
      <c r="Y37" s="10">
        <f t="shared" si="1"/>
        <v>450.7866360422899</v>
      </c>
      <c r="Z37" s="10">
        <f t="shared" si="2"/>
        <v>279.8873432185178</v>
      </c>
      <c r="AA37" s="10">
        <f t="shared" si="3"/>
        <v>450.61651297425794</v>
      </c>
    </row>
    <row r="38" spans="1:27" ht="12.75">
      <c r="A38" s="201"/>
      <c r="B38" s="211"/>
      <c r="C38" s="211"/>
      <c r="D38" s="211"/>
      <c r="E38" s="228"/>
      <c r="F38" s="3">
        <v>3.8123</v>
      </c>
      <c r="G38" s="8">
        <f>G37+F38</f>
        <v>655.2055</v>
      </c>
      <c r="H38" s="3">
        <v>4</v>
      </c>
      <c r="I38" s="51"/>
      <c r="J38" s="11"/>
      <c r="Q38" s="162"/>
      <c r="R38" s="162"/>
      <c r="S38" s="162"/>
      <c r="T38" s="162"/>
      <c r="X38" s="10">
        <f t="shared" si="0"/>
        <v>273.4742736331507</v>
      </c>
      <c r="Y38" s="10">
        <f t="shared" si="1"/>
        <v>453.272893375223</v>
      </c>
      <c r="Z38" s="10">
        <f t="shared" si="2"/>
        <v>273.4742736331507</v>
      </c>
      <c r="AA38" s="10">
        <f t="shared" si="3"/>
        <v>453.272893375223</v>
      </c>
    </row>
    <row r="39" spans="1:27" ht="12.75">
      <c r="A39" s="201"/>
      <c r="B39" s="211"/>
      <c r="C39" s="211"/>
      <c r="D39" s="211"/>
      <c r="E39" s="228"/>
      <c r="F39" s="3">
        <v>4.0046</v>
      </c>
      <c r="G39" s="8">
        <f aca="true" t="shared" si="4" ref="G39:G46">G38+F39</f>
        <v>659.2101</v>
      </c>
      <c r="H39" s="3">
        <v>5</v>
      </c>
      <c r="I39" s="51"/>
      <c r="J39" s="11"/>
      <c r="Q39" s="162"/>
      <c r="R39" s="162"/>
      <c r="S39" s="162"/>
      <c r="T39" s="162"/>
      <c r="X39" s="10">
        <f t="shared" si="0"/>
        <v>273.4742736331507</v>
      </c>
      <c r="Y39" s="10">
        <f t="shared" si="1"/>
        <v>453.272893375223</v>
      </c>
      <c r="Z39" s="10">
        <f t="shared" si="2"/>
        <v>273.4742736331507</v>
      </c>
      <c r="AA39" s="10">
        <f t="shared" si="3"/>
        <v>453.272893375223</v>
      </c>
    </row>
    <row r="40" spans="1:27" ht="12.75">
      <c r="A40" s="201"/>
      <c r="B40" s="211"/>
      <c r="C40" s="211"/>
      <c r="D40" s="211"/>
      <c r="E40" s="228"/>
      <c r="F40" s="3">
        <v>4.1927</v>
      </c>
      <c r="G40" s="8">
        <f t="shared" si="4"/>
        <v>663.4028</v>
      </c>
      <c r="H40" s="3">
        <v>6</v>
      </c>
      <c r="I40" s="51"/>
      <c r="J40" s="17"/>
      <c r="Q40" s="162"/>
      <c r="R40" s="162"/>
      <c r="S40" s="162"/>
      <c r="T40" s="162"/>
      <c r="X40" s="10">
        <f t="shared" si="0"/>
        <v>273.4742736331507</v>
      </c>
      <c r="Y40" s="10">
        <f t="shared" si="1"/>
        <v>453.272893375223</v>
      </c>
      <c r="Z40" s="10">
        <f t="shared" si="2"/>
        <v>273.4742736331507</v>
      </c>
      <c r="AA40" s="10">
        <f t="shared" si="3"/>
        <v>453.272893375223</v>
      </c>
    </row>
    <row r="41" spans="1:27" ht="12.75">
      <c r="A41" s="201"/>
      <c r="B41" s="211"/>
      <c r="C41" s="211"/>
      <c r="D41" s="211"/>
      <c r="E41" s="228"/>
      <c r="F41" s="3">
        <v>4.378</v>
      </c>
      <c r="G41" s="8">
        <f t="shared" si="4"/>
        <v>667.7808</v>
      </c>
      <c r="H41" s="3">
        <v>7</v>
      </c>
      <c r="I41" s="51"/>
      <c r="J41" s="11"/>
      <c r="Q41" s="162"/>
      <c r="R41" s="162"/>
      <c r="S41" s="162"/>
      <c r="T41" s="162"/>
      <c r="X41" s="10">
        <f t="shared" si="0"/>
        <v>273.4742736331507</v>
      </c>
      <c r="Y41" s="10">
        <f t="shared" si="1"/>
        <v>453.272893375223</v>
      </c>
      <c r="Z41" s="10">
        <f t="shared" si="2"/>
        <v>273.4742736331507</v>
      </c>
      <c r="AA41" s="10">
        <f t="shared" si="3"/>
        <v>453.272893375223</v>
      </c>
    </row>
    <row r="42" spans="1:27" ht="12.75">
      <c r="A42" s="201"/>
      <c r="B42" s="211"/>
      <c r="C42" s="211"/>
      <c r="D42" s="211"/>
      <c r="E42" s="228"/>
      <c r="F42" s="3">
        <v>4.5596</v>
      </c>
      <c r="G42" s="8">
        <f t="shared" si="4"/>
        <v>672.3404</v>
      </c>
      <c r="H42" s="3">
        <v>8</v>
      </c>
      <c r="I42" s="51"/>
      <c r="J42" s="11"/>
      <c r="Q42" s="162"/>
      <c r="R42" s="162"/>
      <c r="S42" s="162"/>
      <c r="T42" s="162"/>
      <c r="X42" s="10">
        <f t="shared" si="0"/>
        <v>273.4742736331507</v>
      </c>
      <c r="Y42" s="10">
        <f t="shared" si="1"/>
        <v>453.272893375223</v>
      </c>
      <c r="Z42" s="10">
        <f t="shared" si="2"/>
        <v>273.4742736331507</v>
      </c>
      <c r="AA42" s="10">
        <f t="shared" si="3"/>
        <v>453.272893375223</v>
      </c>
    </row>
    <row r="43" spans="1:27" ht="12.75">
      <c r="A43" s="201"/>
      <c r="B43" s="211"/>
      <c r="C43" s="211"/>
      <c r="D43" s="211"/>
      <c r="E43" s="228"/>
      <c r="F43" s="3">
        <v>4.7349</v>
      </c>
      <c r="G43" s="8">
        <f t="shared" si="4"/>
        <v>677.0753000000001</v>
      </c>
      <c r="H43" s="3">
        <v>9</v>
      </c>
      <c r="I43" s="51"/>
      <c r="J43" s="11"/>
      <c r="Q43" s="162"/>
      <c r="R43" s="162"/>
      <c r="S43" s="162"/>
      <c r="T43" s="162"/>
      <c r="X43" s="10">
        <f t="shared" si="0"/>
        <v>273.4742736331507</v>
      </c>
      <c r="Y43" s="10">
        <f t="shared" si="1"/>
        <v>453.272893375223</v>
      </c>
      <c r="Z43" s="10">
        <f t="shared" si="2"/>
        <v>273.4742736331507</v>
      </c>
      <c r="AA43" s="10">
        <f t="shared" si="3"/>
        <v>453.272893375223</v>
      </c>
    </row>
    <row r="44" spans="1:27" ht="12.75">
      <c r="A44" s="201"/>
      <c r="B44" s="211"/>
      <c r="C44" s="211"/>
      <c r="D44" s="211"/>
      <c r="E44" s="228"/>
      <c r="F44" s="3">
        <v>4.9081</v>
      </c>
      <c r="G44" s="8">
        <f t="shared" si="4"/>
        <v>681.9834000000001</v>
      </c>
      <c r="H44" s="3">
        <v>10</v>
      </c>
      <c r="I44" s="51"/>
      <c r="J44" s="11"/>
      <c r="Q44" s="162"/>
      <c r="R44" s="162"/>
      <c r="S44" s="162"/>
      <c r="T44" s="162"/>
      <c r="X44" s="10">
        <f t="shared" si="0"/>
        <v>273.4742736331507</v>
      </c>
      <c r="Y44" s="10">
        <f t="shared" si="1"/>
        <v>453.272893375223</v>
      </c>
      <c r="Z44" s="10">
        <f t="shared" si="2"/>
        <v>273.4742736331507</v>
      </c>
      <c r="AA44" s="10">
        <f t="shared" si="3"/>
        <v>453.272893375223</v>
      </c>
    </row>
    <row r="45" spans="1:27" ht="12.75">
      <c r="A45" s="201"/>
      <c r="B45" s="211"/>
      <c r="C45" s="211"/>
      <c r="D45" s="211"/>
      <c r="E45" s="228"/>
      <c r="F45" s="3">
        <v>5.08</v>
      </c>
      <c r="G45" s="8">
        <f t="shared" si="4"/>
        <v>687.0634000000001</v>
      </c>
      <c r="H45" s="3">
        <v>11</v>
      </c>
      <c r="I45" s="51"/>
      <c r="J45" s="11"/>
      <c r="Q45" s="162"/>
      <c r="R45" s="162"/>
      <c r="S45" s="162"/>
      <c r="T45" s="162"/>
      <c r="X45" s="10">
        <f t="shared" si="0"/>
        <v>273.4742736331507</v>
      </c>
      <c r="Y45" s="10">
        <f t="shared" si="1"/>
        <v>453.272893375223</v>
      </c>
      <c r="Z45" s="10">
        <f t="shared" si="2"/>
        <v>273.4742736331507</v>
      </c>
      <c r="AA45" s="10">
        <f t="shared" si="3"/>
        <v>453.272893375223</v>
      </c>
    </row>
    <row r="46" spans="1:27" ht="12.75">
      <c r="A46" s="201"/>
      <c r="B46" s="212"/>
      <c r="C46" s="212"/>
      <c r="D46" s="212"/>
      <c r="E46" s="209"/>
      <c r="F46" s="3">
        <v>5.2518</v>
      </c>
      <c r="G46" s="8">
        <f t="shared" si="4"/>
        <v>692.3152000000001</v>
      </c>
      <c r="H46" s="3">
        <v>12</v>
      </c>
      <c r="I46" s="50">
        <v>2.2609</v>
      </c>
      <c r="J46" s="11"/>
      <c r="Q46" s="162"/>
      <c r="R46" s="162"/>
      <c r="S46" s="162"/>
      <c r="T46" s="162"/>
      <c r="X46" s="10">
        <f t="shared" si="0"/>
        <v>273.4742736331507</v>
      </c>
      <c r="Y46" s="10">
        <f t="shared" si="1"/>
        <v>453.272893375223</v>
      </c>
      <c r="Z46" s="10">
        <f t="shared" si="2"/>
        <v>273.4742736331507</v>
      </c>
      <c r="AA46" s="10">
        <f t="shared" si="3"/>
        <v>453.272893375223</v>
      </c>
    </row>
    <row r="47" spans="1:27" ht="12.75">
      <c r="A47" s="47" t="s">
        <v>63</v>
      </c>
      <c r="B47" s="32">
        <f>C37</f>
        <v>694.1456500000002</v>
      </c>
      <c r="C47" s="32">
        <f>B51</f>
        <v>733.3687500000001</v>
      </c>
      <c r="D47" s="66">
        <v>57</v>
      </c>
      <c r="E47" s="80" t="s">
        <v>99</v>
      </c>
      <c r="F47" s="18"/>
      <c r="G47" s="8"/>
      <c r="H47" s="3"/>
      <c r="I47" s="65"/>
      <c r="J47" s="11"/>
      <c r="N47" s="1">
        <f>($S$291-(B47+C47)/2)/100</f>
        <v>24.899931300000002</v>
      </c>
      <c r="O47" s="1"/>
      <c r="P47" s="1"/>
      <c r="Q47" s="162">
        <f>B47</f>
        <v>694.1456500000002</v>
      </c>
      <c r="R47" s="162">
        <v>0</v>
      </c>
      <c r="S47" s="162">
        <f>C47</f>
        <v>733.3687500000001</v>
      </c>
      <c r="T47" s="162">
        <v>0</v>
      </c>
      <c r="X47" s="10">
        <f t="shared" si="0"/>
        <v>279.8873432185178</v>
      </c>
      <c r="Y47" s="10">
        <f t="shared" si="1"/>
        <v>450.61651297425794</v>
      </c>
      <c r="Z47" s="10">
        <f t="shared" si="2"/>
        <v>280.24971741138904</v>
      </c>
      <c r="AA47" s="10">
        <f t="shared" si="3"/>
        <v>450.4664126687888</v>
      </c>
    </row>
    <row r="48" spans="1:27" ht="12.75">
      <c r="A48" s="49" t="s">
        <v>31</v>
      </c>
      <c r="B48" s="12">
        <f>G46+7.48-0.5*$M$3</f>
        <v>699.5452000000001</v>
      </c>
      <c r="C48" s="12">
        <f>B48+$L$3</f>
        <v>704.6452000000002</v>
      </c>
      <c r="D48" s="25">
        <v>18</v>
      </c>
      <c r="E48" s="81" t="s">
        <v>100</v>
      </c>
      <c r="F48" s="7"/>
      <c r="G48" s="8"/>
      <c r="H48" s="3"/>
      <c r="I48" s="51"/>
      <c r="J48" s="11"/>
      <c r="Q48" s="162">
        <f>B48</f>
        <v>699.5452000000001</v>
      </c>
      <c r="R48" s="162">
        <v>0</v>
      </c>
      <c r="S48" s="162">
        <f>C48</f>
        <v>704.6452000000002</v>
      </c>
      <c r="T48" s="162">
        <v>0</v>
      </c>
      <c r="X48" s="10">
        <f t="shared" si="0"/>
        <v>279.9372285558093</v>
      </c>
      <c r="Y48" s="10">
        <f t="shared" si="1"/>
        <v>450.59584979097065</v>
      </c>
      <c r="Z48" s="10">
        <f t="shared" si="2"/>
        <v>279.9843464119615</v>
      </c>
      <c r="AA48" s="10">
        <f t="shared" si="3"/>
        <v>450.57633293590584</v>
      </c>
    </row>
    <row r="49" spans="1:27" ht="12.75">
      <c r="A49" s="49" t="s">
        <v>32</v>
      </c>
      <c r="B49" s="31">
        <f>C48+1.8-0.5*($M$3+$M$10)</f>
        <v>705.9452000000001</v>
      </c>
      <c r="C49" s="31">
        <f>B49+$L$10</f>
        <v>714.8452000000001</v>
      </c>
      <c r="D49" s="31">
        <v>18</v>
      </c>
      <c r="E49" s="81" t="s">
        <v>101</v>
      </c>
      <c r="F49" s="7"/>
      <c r="G49" s="8"/>
      <c r="H49" s="3"/>
      <c r="I49" s="51"/>
      <c r="J49" s="11"/>
      <c r="O49" s="1">
        <f>($S$291-(B49+C49)/2)/100</f>
        <v>24.933551299999998</v>
      </c>
      <c r="Q49" s="162">
        <f>B49</f>
        <v>705.9452000000001</v>
      </c>
      <c r="R49" s="162">
        <v>0</v>
      </c>
      <c r="S49" s="162">
        <f>C49</f>
        <v>714.8452000000001</v>
      </c>
      <c r="T49" s="162">
        <v>0</v>
      </c>
      <c r="X49" s="10">
        <f t="shared" si="0"/>
        <v>279.99635684588264</v>
      </c>
      <c r="Y49" s="10">
        <f t="shared" si="1"/>
        <v>450.5713580512815</v>
      </c>
      <c r="Z49" s="10">
        <f t="shared" si="2"/>
        <v>280.0785821242659</v>
      </c>
      <c r="AA49" s="10">
        <f t="shared" si="3"/>
        <v>450.5372992257762</v>
      </c>
    </row>
    <row r="50" spans="1:27" ht="12.75">
      <c r="A50" s="49" t="s">
        <v>31</v>
      </c>
      <c r="B50" s="31">
        <f>C49+1.8-0.5*($M$3+$M$10)</f>
        <v>716.1452</v>
      </c>
      <c r="C50" s="31">
        <f>B50+$L$3</f>
        <v>721.2452000000001</v>
      </c>
      <c r="D50" s="31">
        <v>18</v>
      </c>
      <c r="E50" s="81" t="s">
        <v>102</v>
      </c>
      <c r="F50" s="7"/>
      <c r="G50" s="8"/>
      <c r="H50" s="3"/>
      <c r="I50" s="51"/>
      <c r="J50" s="11"/>
      <c r="Q50" s="162">
        <f>B50</f>
        <v>716.1452</v>
      </c>
      <c r="R50" s="162">
        <v>0</v>
      </c>
      <c r="S50" s="162">
        <f>C50</f>
        <v>721.2452000000001</v>
      </c>
      <c r="T50" s="162">
        <v>0</v>
      </c>
      <c r="X50" s="10">
        <f t="shared" si="0"/>
        <v>280.09059255818704</v>
      </c>
      <c r="Y50" s="10">
        <f t="shared" si="1"/>
        <v>450.5323243411518</v>
      </c>
      <c r="Z50" s="10">
        <f t="shared" si="2"/>
        <v>280.1377104143392</v>
      </c>
      <c r="AA50" s="10">
        <f t="shared" si="3"/>
        <v>450.512807486087</v>
      </c>
    </row>
    <row r="51" spans="1:27" ht="12.75">
      <c r="A51" s="201" t="s">
        <v>7</v>
      </c>
      <c r="B51" s="210">
        <f>G51-I51/2-$L$15</f>
        <v>733.3687500000001</v>
      </c>
      <c r="C51" s="210">
        <f>G62+I62/2+$L$15</f>
        <v>807.5111500000003</v>
      </c>
      <c r="D51" s="210">
        <v>45</v>
      </c>
      <c r="E51" s="208" t="s">
        <v>99</v>
      </c>
      <c r="F51" s="3">
        <v>43.16</v>
      </c>
      <c r="G51" s="8">
        <f>G46+F51</f>
        <v>735.4752000000001</v>
      </c>
      <c r="H51" s="3">
        <v>13</v>
      </c>
      <c r="I51" s="50">
        <v>2.8129</v>
      </c>
      <c r="J51" s="11"/>
      <c r="Q51" s="162">
        <f>B51</f>
        <v>733.3687500000001</v>
      </c>
      <c r="R51" s="162">
        <v>0</v>
      </c>
      <c r="S51" s="162">
        <f>C51</f>
        <v>807.5111500000003</v>
      </c>
      <c r="T51" s="162">
        <v>0</v>
      </c>
      <c r="X51" s="10">
        <f t="shared" si="0"/>
        <v>280.24971741138904</v>
      </c>
      <c r="Y51" s="10">
        <f t="shared" si="1"/>
        <v>450.4664126687888</v>
      </c>
      <c r="Z51" s="10">
        <f t="shared" si="2"/>
        <v>280.9347038698162</v>
      </c>
      <c r="AA51" s="10">
        <f t="shared" si="3"/>
        <v>450.1826819874246</v>
      </c>
    </row>
    <row r="52" spans="1:27" ht="12.75">
      <c r="A52" s="201"/>
      <c r="B52" s="211"/>
      <c r="C52" s="211"/>
      <c r="D52" s="211"/>
      <c r="E52" s="228"/>
      <c r="F52" s="3">
        <v>5.5688</v>
      </c>
      <c r="G52" s="8">
        <f>G51+F52</f>
        <v>741.0440000000001</v>
      </c>
      <c r="H52" s="3">
        <v>14</v>
      </c>
      <c r="I52" s="51"/>
      <c r="J52" s="11"/>
      <c r="Q52" s="162"/>
      <c r="R52" s="162"/>
      <c r="S52" s="162"/>
      <c r="T52" s="162"/>
      <c r="X52" s="10">
        <f t="shared" si="0"/>
        <v>273.4742736331507</v>
      </c>
      <c r="Y52" s="10">
        <f t="shared" si="1"/>
        <v>453.272893375223</v>
      </c>
      <c r="Z52" s="10">
        <f t="shared" si="2"/>
        <v>273.4742736331507</v>
      </c>
      <c r="AA52" s="10">
        <f t="shared" si="3"/>
        <v>453.272893375223</v>
      </c>
    </row>
    <row r="53" spans="1:27" ht="12.75">
      <c r="A53" s="201"/>
      <c r="B53" s="211"/>
      <c r="C53" s="211"/>
      <c r="D53" s="211"/>
      <c r="E53" s="228"/>
      <c r="F53" s="3">
        <v>5.7064</v>
      </c>
      <c r="G53" s="8">
        <f aca="true" t="shared" si="5" ref="G53:G62">G52+F53</f>
        <v>746.7504000000001</v>
      </c>
      <c r="H53" s="3">
        <v>15</v>
      </c>
      <c r="I53" s="51"/>
      <c r="J53" s="11"/>
      <c r="Q53" s="162"/>
      <c r="R53" s="162"/>
      <c r="S53" s="162"/>
      <c r="T53" s="162"/>
      <c r="X53" s="10">
        <f t="shared" si="0"/>
        <v>273.4742736331507</v>
      </c>
      <c r="Y53" s="10">
        <f t="shared" si="1"/>
        <v>453.272893375223</v>
      </c>
      <c r="Z53" s="10">
        <f t="shared" si="2"/>
        <v>273.4742736331507</v>
      </c>
      <c r="AA53" s="10">
        <f t="shared" si="3"/>
        <v>453.272893375223</v>
      </c>
    </row>
    <row r="54" spans="1:27" ht="12.75">
      <c r="A54" s="201"/>
      <c r="B54" s="211"/>
      <c r="C54" s="211"/>
      <c r="D54" s="211"/>
      <c r="E54" s="228"/>
      <c r="F54" s="3">
        <v>7.25</v>
      </c>
      <c r="G54" s="8">
        <f t="shared" si="5"/>
        <v>754.0004000000001</v>
      </c>
      <c r="H54" s="3">
        <v>16</v>
      </c>
      <c r="I54" s="51"/>
      <c r="J54" s="11"/>
      <c r="Q54" s="162"/>
      <c r="R54" s="162"/>
      <c r="S54" s="162"/>
      <c r="T54" s="162"/>
      <c r="X54" s="10">
        <f t="shared" si="0"/>
        <v>273.4742736331507</v>
      </c>
      <c r="Y54" s="10">
        <f t="shared" si="1"/>
        <v>453.272893375223</v>
      </c>
      <c r="Z54" s="10">
        <f t="shared" si="2"/>
        <v>273.4742736331507</v>
      </c>
      <c r="AA54" s="10">
        <f t="shared" si="3"/>
        <v>453.272893375223</v>
      </c>
    </row>
    <row r="55" spans="1:27" ht="12.75">
      <c r="A55" s="201"/>
      <c r="B55" s="211"/>
      <c r="C55" s="211"/>
      <c r="D55" s="211"/>
      <c r="E55" s="228"/>
      <c r="F55" s="3">
        <v>5.8232</v>
      </c>
      <c r="G55" s="8">
        <f t="shared" si="5"/>
        <v>759.8236000000002</v>
      </c>
      <c r="H55" s="3">
        <v>17</v>
      </c>
      <c r="I55" s="51"/>
      <c r="J55" s="11"/>
      <c r="P55" s="6"/>
      <c r="Q55" s="162"/>
      <c r="R55" s="162"/>
      <c r="S55" s="162"/>
      <c r="T55" s="162"/>
      <c r="X55" s="10">
        <f t="shared" si="0"/>
        <v>273.4742736331507</v>
      </c>
      <c r="Y55" s="10">
        <f t="shared" si="1"/>
        <v>453.272893375223</v>
      </c>
      <c r="Z55" s="10">
        <f t="shared" si="2"/>
        <v>273.4742736331507</v>
      </c>
      <c r="AA55" s="10">
        <f t="shared" si="3"/>
        <v>453.272893375223</v>
      </c>
    </row>
    <row r="56" spans="1:27" ht="12.75">
      <c r="A56" s="201"/>
      <c r="B56" s="211"/>
      <c r="C56" s="211"/>
      <c r="D56" s="211"/>
      <c r="E56" s="228"/>
      <c r="F56" s="3">
        <v>6.0043</v>
      </c>
      <c r="G56" s="8">
        <f t="shared" si="5"/>
        <v>765.8279000000001</v>
      </c>
      <c r="H56" s="3">
        <v>18</v>
      </c>
      <c r="I56" s="51"/>
      <c r="J56" s="11"/>
      <c r="Q56" s="162"/>
      <c r="R56" s="162"/>
      <c r="S56" s="162"/>
      <c r="T56" s="162"/>
      <c r="X56" s="10">
        <f t="shared" si="0"/>
        <v>273.4742736331507</v>
      </c>
      <c r="Y56" s="10">
        <f t="shared" si="1"/>
        <v>453.272893375223</v>
      </c>
      <c r="Z56" s="10">
        <f t="shared" si="2"/>
        <v>273.4742736331507</v>
      </c>
      <c r="AA56" s="10">
        <f t="shared" si="3"/>
        <v>453.272893375223</v>
      </c>
    </row>
    <row r="57" spans="1:27" ht="12.75">
      <c r="A57" s="201"/>
      <c r="B57" s="211"/>
      <c r="C57" s="211"/>
      <c r="D57" s="211"/>
      <c r="E57" s="228"/>
      <c r="F57" s="3">
        <v>6.1804</v>
      </c>
      <c r="G57" s="8">
        <f t="shared" si="5"/>
        <v>772.0083000000001</v>
      </c>
      <c r="H57" s="3">
        <v>19</v>
      </c>
      <c r="I57" s="51"/>
      <c r="J57" s="11"/>
      <c r="Q57" s="162"/>
      <c r="R57" s="162"/>
      <c r="S57" s="162"/>
      <c r="T57" s="162"/>
      <c r="X57" s="10">
        <f t="shared" si="0"/>
        <v>273.4742736331507</v>
      </c>
      <c r="Y57" s="10">
        <f t="shared" si="1"/>
        <v>453.272893375223</v>
      </c>
      <c r="Z57" s="10">
        <f t="shared" si="2"/>
        <v>273.4742736331507</v>
      </c>
      <c r="AA57" s="10">
        <f t="shared" si="3"/>
        <v>453.272893375223</v>
      </c>
    </row>
    <row r="58" spans="1:27" ht="12.75">
      <c r="A58" s="201"/>
      <c r="B58" s="211"/>
      <c r="C58" s="211"/>
      <c r="D58" s="211"/>
      <c r="E58" s="228"/>
      <c r="F58" s="3">
        <v>6.3514</v>
      </c>
      <c r="G58" s="8">
        <f t="shared" si="5"/>
        <v>778.3597000000001</v>
      </c>
      <c r="H58" s="3">
        <v>20</v>
      </c>
      <c r="I58" s="51"/>
      <c r="J58" s="11"/>
      <c r="Q58" s="162"/>
      <c r="R58" s="162"/>
      <c r="S58" s="162"/>
      <c r="T58" s="162"/>
      <c r="X58" s="10">
        <f t="shared" si="0"/>
        <v>273.4742736331507</v>
      </c>
      <c r="Y58" s="10">
        <f t="shared" si="1"/>
        <v>453.272893375223</v>
      </c>
      <c r="Z58" s="10">
        <f t="shared" si="2"/>
        <v>273.4742736331507</v>
      </c>
      <c r="AA58" s="10">
        <f t="shared" si="3"/>
        <v>453.272893375223</v>
      </c>
    </row>
    <row r="59" spans="1:27" ht="12.75">
      <c r="A59" s="201"/>
      <c r="B59" s="211"/>
      <c r="C59" s="211"/>
      <c r="D59" s="211"/>
      <c r="E59" s="228"/>
      <c r="F59" s="3">
        <v>6.5189</v>
      </c>
      <c r="G59" s="8">
        <f t="shared" si="5"/>
        <v>784.8786000000001</v>
      </c>
      <c r="H59" s="3">
        <v>21</v>
      </c>
      <c r="I59" s="51"/>
      <c r="J59" s="11"/>
      <c r="Q59" s="162"/>
      <c r="R59" s="162"/>
      <c r="S59" s="162"/>
      <c r="T59" s="162"/>
      <c r="X59" s="10">
        <f t="shared" si="0"/>
        <v>273.4742736331507</v>
      </c>
      <c r="Y59" s="10">
        <f t="shared" si="1"/>
        <v>453.272893375223</v>
      </c>
      <c r="Z59" s="10">
        <f t="shared" si="2"/>
        <v>273.4742736331507</v>
      </c>
      <c r="AA59" s="10">
        <f t="shared" si="3"/>
        <v>453.272893375223</v>
      </c>
    </row>
    <row r="60" spans="1:27" ht="12.75">
      <c r="A60" s="201"/>
      <c r="B60" s="211"/>
      <c r="C60" s="211"/>
      <c r="D60" s="211"/>
      <c r="E60" s="228"/>
      <c r="F60" s="3">
        <v>6.6819</v>
      </c>
      <c r="G60" s="8">
        <f t="shared" si="5"/>
        <v>791.5605000000002</v>
      </c>
      <c r="H60" s="3">
        <v>22</v>
      </c>
      <c r="I60" s="51"/>
      <c r="J60" s="11"/>
      <c r="Q60" s="162"/>
      <c r="R60" s="162"/>
      <c r="S60" s="162"/>
      <c r="T60" s="162"/>
      <c r="X60" s="10">
        <f t="shared" si="0"/>
        <v>273.4742736331507</v>
      </c>
      <c r="Y60" s="10">
        <f t="shared" si="1"/>
        <v>453.272893375223</v>
      </c>
      <c r="Z60" s="10">
        <f t="shared" si="2"/>
        <v>273.4742736331507</v>
      </c>
      <c r="AA60" s="10">
        <f t="shared" si="3"/>
        <v>453.272893375223</v>
      </c>
    </row>
    <row r="61" spans="1:27" ht="12.75">
      <c r="A61" s="201"/>
      <c r="B61" s="211"/>
      <c r="C61" s="211"/>
      <c r="D61" s="211"/>
      <c r="E61" s="228"/>
      <c r="F61" s="3">
        <v>6.8404</v>
      </c>
      <c r="G61" s="8">
        <f t="shared" si="5"/>
        <v>798.4009000000002</v>
      </c>
      <c r="H61" s="3">
        <v>23</v>
      </c>
      <c r="I61" s="51"/>
      <c r="J61" s="11"/>
      <c r="Q61" s="162"/>
      <c r="R61" s="162"/>
      <c r="S61" s="162"/>
      <c r="T61" s="162"/>
      <c r="X61" s="10">
        <f t="shared" si="0"/>
        <v>273.4742736331507</v>
      </c>
      <c r="Y61" s="10">
        <f t="shared" si="1"/>
        <v>453.272893375223</v>
      </c>
      <c r="Z61" s="10">
        <f t="shared" si="2"/>
        <v>273.4742736331507</v>
      </c>
      <c r="AA61" s="10">
        <f t="shared" si="3"/>
        <v>453.272893375223</v>
      </c>
    </row>
    <row r="62" spans="1:27" ht="12.75">
      <c r="A62" s="201"/>
      <c r="B62" s="212"/>
      <c r="C62" s="212"/>
      <c r="D62" s="212"/>
      <c r="E62" s="209"/>
      <c r="F62" s="3">
        <v>6.9963</v>
      </c>
      <c r="G62" s="8">
        <f t="shared" si="5"/>
        <v>805.3972000000002</v>
      </c>
      <c r="H62" s="3">
        <v>24</v>
      </c>
      <c r="I62" s="50">
        <v>2.8279</v>
      </c>
      <c r="J62" s="11"/>
      <c r="P62" s="1"/>
      <c r="Q62" s="162"/>
      <c r="R62" s="162"/>
      <c r="S62" s="162"/>
      <c r="T62" s="162"/>
      <c r="X62" s="10">
        <f t="shared" si="0"/>
        <v>273.4742736331507</v>
      </c>
      <c r="Y62" s="10">
        <f t="shared" si="1"/>
        <v>453.272893375223</v>
      </c>
      <c r="Z62" s="10">
        <f t="shared" si="2"/>
        <v>273.4742736331507</v>
      </c>
      <c r="AA62" s="10">
        <f t="shared" si="3"/>
        <v>453.272893375223</v>
      </c>
    </row>
    <row r="63" spans="1:27" ht="12.75">
      <c r="A63" s="49" t="s">
        <v>31</v>
      </c>
      <c r="B63" s="12">
        <f>G62+6-0.5*$M$3</f>
        <v>811.1472000000002</v>
      </c>
      <c r="C63" s="12">
        <f>B63+$L$3</f>
        <v>816.2472000000002</v>
      </c>
      <c r="D63" s="25">
        <v>18</v>
      </c>
      <c r="E63" s="81" t="s">
        <v>104</v>
      </c>
      <c r="F63" s="7"/>
      <c r="G63" s="8"/>
      <c r="H63" s="3"/>
      <c r="I63" s="51"/>
      <c r="J63" s="11"/>
      <c r="P63" s="1"/>
      <c r="Q63" s="162">
        <f>B63</f>
        <v>811.1472000000002</v>
      </c>
      <c r="R63" s="162">
        <v>0</v>
      </c>
      <c r="S63" s="162">
        <f>C63</f>
        <v>816.2472000000002</v>
      </c>
      <c r="T63" s="162">
        <v>0</v>
      </c>
      <c r="X63" s="10">
        <f t="shared" si="0"/>
        <v>280.9682965915539</v>
      </c>
      <c r="Y63" s="10">
        <f t="shared" si="1"/>
        <v>450.16876742647196</v>
      </c>
      <c r="Z63" s="10">
        <f t="shared" si="2"/>
        <v>281.01541444770606</v>
      </c>
      <c r="AA63" s="10">
        <f t="shared" si="3"/>
        <v>450.1492505714071</v>
      </c>
    </row>
    <row r="64" spans="1:27" ht="12.75">
      <c r="A64" s="49" t="s">
        <v>32</v>
      </c>
      <c r="B64" s="31">
        <f>C63+1.8-0.5*($M$3+$M$10)</f>
        <v>817.5472000000002</v>
      </c>
      <c r="C64" s="31">
        <f>B64+$L$10</f>
        <v>826.4472000000002</v>
      </c>
      <c r="D64" s="31">
        <v>18</v>
      </c>
      <c r="E64" s="81" t="s">
        <v>105</v>
      </c>
      <c r="F64" s="7"/>
      <c r="G64" s="8"/>
      <c r="H64" s="3"/>
      <c r="I64" s="51"/>
      <c r="J64" s="11"/>
      <c r="O64" s="1">
        <f>($S$291-(B64+C64)/2)/100</f>
        <v>23.8175313</v>
      </c>
      <c r="Q64" s="162">
        <f>B64</f>
        <v>817.5472000000002</v>
      </c>
      <c r="R64" s="162">
        <v>0</v>
      </c>
      <c r="S64" s="162">
        <f>C64</f>
        <v>826.4472000000002</v>
      </c>
      <c r="T64" s="162">
        <v>0</v>
      </c>
      <c r="X64" s="10">
        <f t="shared" si="0"/>
        <v>281.0274248816272</v>
      </c>
      <c r="Y64" s="10">
        <f t="shared" si="1"/>
        <v>450.14427568678275</v>
      </c>
      <c r="Z64" s="10">
        <f t="shared" si="2"/>
        <v>281.10965016001046</v>
      </c>
      <c r="AA64" s="10">
        <f t="shared" si="3"/>
        <v>450.1102168612775</v>
      </c>
    </row>
    <row r="65" spans="1:27" ht="12.75">
      <c r="A65" s="49" t="s">
        <v>31</v>
      </c>
      <c r="B65" s="31">
        <f>C64+1.8-0.5*($M$3+$M$10)</f>
        <v>827.7472000000001</v>
      </c>
      <c r="C65" s="31">
        <f>B65+$L$3</f>
        <v>832.8472000000002</v>
      </c>
      <c r="D65" s="31">
        <v>18</v>
      </c>
      <c r="E65" s="81" t="s">
        <v>106</v>
      </c>
      <c r="F65" s="7"/>
      <c r="G65" s="8"/>
      <c r="H65" s="3"/>
      <c r="I65" s="51"/>
      <c r="J65" s="11"/>
      <c r="P65" s="1">
        <f>($S$291-C65-250)/100</f>
        <v>21.209031300000003</v>
      </c>
      <c r="Q65" s="162">
        <f>B65</f>
        <v>827.7472000000001</v>
      </c>
      <c r="R65" s="162">
        <v>0</v>
      </c>
      <c r="S65" s="162">
        <f>C65</f>
        <v>832.8472000000002</v>
      </c>
      <c r="T65" s="162">
        <v>0</v>
      </c>
      <c r="X65" s="10">
        <f t="shared" si="0"/>
        <v>281.1216605939316</v>
      </c>
      <c r="Y65" s="10">
        <f t="shared" si="1"/>
        <v>450.10524197665313</v>
      </c>
      <c r="Z65" s="10">
        <f t="shared" si="2"/>
        <v>281.16877845008383</v>
      </c>
      <c r="AA65" s="10">
        <f t="shared" si="3"/>
        <v>450.0857251215883</v>
      </c>
    </row>
    <row r="66" spans="1:27" ht="12.75">
      <c r="A66" s="56" t="s">
        <v>30</v>
      </c>
      <c r="B66" s="55">
        <f>C65+0.1</f>
        <v>832.9472000000002</v>
      </c>
      <c r="C66" s="55">
        <f>B66+4</f>
        <v>836.9472000000002</v>
      </c>
      <c r="D66" s="55">
        <v>3</v>
      </c>
      <c r="E66" s="82" t="s">
        <v>103</v>
      </c>
      <c r="F66" s="7"/>
      <c r="G66" s="8"/>
      <c r="H66" s="3"/>
      <c r="I66" s="51"/>
      <c r="J66" s="11"/>
      <c r="Q66" s="162">
        <f>B66</f>
        <v>832.9472000000002</v>
      </c>
      <c r="R66" s="162">
        <v>1</v>
      </c>
      <c r="S66" s="162">
        <f>C66</f>
        <v>836.9472000000002</v>
      </c>
      <c r="T66" s="162">
        <v>1</v>
      </c>
      <c r="X66" s="10">
        <f t="shared" si="0"/>
        <v>281.17352916394265</v>
      </c>
      <c r="Y66" s="10">
        <f t="shared" si="1"/>
        <v>450.0945812334796</v>
      </c>
      <c r="Z66" s="10">
        <f t="shared" si="2"/>
        <v>281.2104843452385</v>
      </c>
      <c r="AA66" s="10">
        <f t="shared" si="3"/>
        <v>450.07927389617385</v>
      </c>
    </row>
    <row r="67" spans="1:27" ht="12.75">
      <c r="A67" s="201" t="s">
        <v>8</v>
      </c>
      <c r="B67" s="210">
        <f>G67-I67/2-$L$15</f>
        <v>837.1204500000002</v>
      </c>
      <c r="C67" s="210">
        <f>G79+I79/2+$L$15</f>
        <v>938.5096000000001</v>
      </c>
      <c r="D67" s="210">
        <v>47</v>
      </c>
      <c r="E67" s="208" t="s">
        <v>107</v>
      </c>
      <c r="F67" s="3">
        <v>34.2</v>
      </c>
      <c r="G67" s="8">
        <f>G62+F67</f>
        <v>839.5972000000003</v>
      </c>
      <c r="H67" s="3">
        <v>25</v>
      </c>
      <c r="I67" s="50">
        <v>3.5535</v>
      </c>
      <c r="J67" s="11"/>
      <c r="Q67" s="162">
        <f>B67</f>
        <v>837.1204500000002</v>
      </c>
      <c r="R67" s="162">
        <v>0</v>
      </c>
      <c r="S67" s="162">
        <f>C67</f>
        <v>938.5096000000001</v>
      </c>
      <c r="T67" s="162">
        <v>0</v>
      </c>
      <c r="X67" s="10">
        <f t="shared" si="0"/>
        <v>281.20825813220193</v>
      </c>
      <c r="Y67" s="10">
        <f t="shared" si="1"/>
        <v>450.06937210180286</v>
      </c>
      <c r="Z67" s="10">
        <f t="shared" si="2"/>
        <v>282.1449717371222</v>
      </c>
      <c r="AA67" s="10">
        <f t="shared" si="3"/>
        <v>449.68137262225486</v>
      </c>
    </row>
    <row r="68" spans="1:27" ht="12.75">
      <c r="A68" s="201"/>
      <c r="B68" s="211"/>
      <c r="C68" s="211"/>
      <c r="D68" s="211"/>
      <c r="E68" s="228"/>
      <c r="F68" s="3">
        <v>7.2901</v>
      </c>
      <c r="G68" s="8">
        <f>G67+F68</f>
        <v>846.8873000000003</v>
      </c>
      <c r="H68" s="3">
        <v>26</v>
      </c>
      <c r="I68" s="51"/>
      <c r="J68" s="11"/>
      <c r="Q68" s="162"/>
      <c r="R68" s="162"/>
      <c r="S68" s="162"/>
      <c r="T68" s="162"/>
      <c r="X68" s="10">
        <f t="shared" si="0"/>
        <v>273.4742736331507</v>
      </c>
      <c r="Y68" s="10">
        <f t="shared" si="1"/>
        <v>453.272893375223</v>
      </c>
      <c r="Z68" s="10">
        <f t="shared" si="2"/>
        <v>273.4742736331507</v>
      </c>
      <c r="AA68" s="10">
        <f t="shared" si="3"/>
        <v>453.272893375223</v>
      </c>
    </row>
    <row r="69" spans="1:27" ht="12.75">
      <c r="A69" s="201"/>
      <c r="B69" s="211"/>
      <c r="C69" s="211"/>
      <c r="D69" s="211"/>
      <c r="E69" s="228"/>
      <c r="F69" s="3">
        <v>7.3922</v>
      </c>
      <c r="G69" s="8">
        <f aca="true" t="shared" si="6" ref="G69:G79">G68+F69</f>
        <v>854.2795000000003</v>
      </c>
      <c r="H69" s="3">
        <v>27</v>
      </c>
      <c r="I69" s="51"/>
      <c r="J69" s="11"/>
      <c r="Q69" s="162"/>
      <c r="R69" s="162"/>
      <c r="S69" s="162"/>
      <c r="T69" s="162"/>
      <c r="X69" s="10">
        <f t="shared" si="0"/>
        <v>273.4742736331507</v>
      </c>
      <c r="Y69" s="10">
        <f t="shared" si="1"/>
        <v>453.272893375223</v>
      </c>
      <c r="Z69" s="10">
        <f t="shared" si="2"/>
        <v>273.4742736331507</v>
      </c>
      <c r="AA69" s="10">
        <f t="shared" si="3"/>
        <v>453.272893375223</v>
      </c>
    </row>
    <row r="70" spans="1:27" ht="12.75">
      <c r="A70" s="201"/>
      <c r="B70" s="211"/>
      <c r="C70" s="211"/>
      <c r="D70" s="211"/>
      <c r="E70" s="228"/>
      <c r="F70" s="3">
        <v>9.209</v>
      </c>
      <c r="G70" s="8">
        <f t="shared" si="6"/>
        <v>863.4885000000003</v>
      </c>
      <c r="H70" s="3">
        <v>28</v>
      </c>
      <c r="I70" s="51"/>
      <c r="J70" s="11"/>
      <c r="Q70" s="162"/>
      <c r="R70" s="162"/>
      <c r="S70" s="162"/>
      <c r="T70" s="162"/>
      <c r="X70" s="10">
        <f t="shared" si="0"/>
        <v>273.4742736331507</v>
      </c>
      <c r="Y70" s="10">
        <f t="shared" si="1"/>
        <v>453.272893375223</v>
      </c>
      <c r="Z70" s="10">
        <f t="shared" si="2"/>
        <v>273.4742736331507</v>
      </c>
      <c r="AA70" s="10">
        <f t="shared" si="3"/>
        <v>453.272893375223</v>
      </c>
    </row>
    <row r="71" spans="1:27" ht="12.75">
      <c r="A71" s="201"/>
      <c r="B71" s="211"/>
      <c r="C71" s="211"/>
      <c r="D71" s="211"/>
      <c r="E71" s="228"/>
      <c r="F71" s="3">
        <v>7.5074</v>
      </c>
      <c r="G71" s="8">
        <f t="shared" si="6"/>
        <v>870.9959000000002</v>
      </c>
      <c r="H71" s="3">
        <v>29</v>
      </c>
      <c r="I71" s="51"/>
      <c r="J71" s="11"/>
      <c r="Q71" s="162"/>
      <c r="R71" s="162"/>
      <c r="S71" s="162"/>
      <c r="T71" s="162"/>
      <c r="X71" s="10">
        <f t="shared" si="0"/>
        <v>273.4742736331507</v>
      </c>
      <c r="Y71" s="10">
        <f t="shared" si="1"/>
        <v>453.272893375223</v>
      </c>
      <c r="Z71" s="10">
        <f t="shared" si="2"/>
        <v>273.4742736331507</v>
      </c>
      <c r="AA71" s="10">
        <f t="shared" si="3"/>
        <v>453.272893375223</v>
      </c>
    </row>
    <row r="72" spans="1:27" ht="12.75">
      <c r="A72" s="201"/>
      <c r="B72" s="211"/>
      <c r="C72" s="211"/>
      <c r="D72" s="211"/>
      <c r="E72" s="228"/>
      <c r="F72" s="3">
        <v>7.6554</v>
      </c>
      <c r="G72" s="8">
        <f t="shared" si="6"/>
        <v>878.6513000000002</v>
      </c>
      <c r="H72" s="3">
        <v>30</v>
      </c>
      <c r="I72" s="51"/>
      <c r="J72" s="11"/>
      <c r="Q72" s="162"/>
      <c r="R72" s="162"/>
      <c r="S72" s="162"/>
      <c r="T72" s="162"/>
      <c r="X72" s="10">
        <f t="shared" si="0"/>
        <v>273.4742736331507</v>
      </c>
      <c r="Y72" s="10">
        <f t="shared" si="1"/>
        <v>453.272893375223</v>
      </c>
      <c r="Z72" s="10">
        <f t="shared" si="2"/>
        <v>273.4742736331507</v>
      </c>
      <c r="AA72" s="10">
        <f t="shared" si="3"/>
        <v>453.272893375223</v>
      </c>
    </row>
    <row r="73" spans="1:27" ht="12.75">
      <c r="A73" s="201"/>
      <c r="B73" s="211"/>
      <c r="C73" s="211"/>
      <c r="D73" s="211"/>
      <c r="E73" s="228"/>
      <c r="F73" s="3">
        <v>7.803</v>
      </c>
      <c r="G73" s="8">
        <f t="shared" si="6"/>
        <v>886.4543000000002</v>
      </c>
      <c r="H73" s="3">
        <v>31</v>
      </c>
      <c r="I73" s="51"/>
      <c r="J73" s="11"/>
      <c r="Q73" s="162"/>
      <c r="R73" s="162"/>
      <c r="S73" s="162"/>
      <c r="T73" s="162"/>
      <c r="X73" s="10">
        <f aca="true" t="shared" si="7" ref="X73:X136">$X$302+0.01*Q73*COS($Y$307)+0.01*R73*SIN($Y$307)</f>
        <v>273.4742736331507</v>
      </c>
      <c r="Y73" s="10">
        <f aca="true" t="shared" si="8" ref="Y73:Y136">$Y$302-0.01*Q73*SIN($Y$307)+0.01*R73*COS($Y$307)</f>
        <v>453.272893375223</v>
      </c>
      <c r="Z73" s="10">
        <f aca="true" t="shared" si="9" ref="Z73:Z136">$X$302+0.01*S73*COS($Y$307)+0.01*T73*SIN($Y$307)</f>
        <v>273.4742736331507</v>
      </c>
      <c r="AA73" s="10">
        <f aca="true" t="shared" si="10" ref="AA73:AA136">$Y$302-0.01*S73*SIN($Y$307)+0.01*T73*COS($Y$307)</f>
        <v>453.272893375223</v>
      </c>
    </row>
    <row r="74" spans="1:27" ht="12.75">
      <c r="A74" s="201"/>
      <c r="B74" s="211"/>
      <c r="C74" s="211"/>
      <c r="D74" s="211"/>
      <c r="E74" s="228"/>
      <c r="F74" s="3">
        <v>7.9452</v>
      </c>
      <c r="G74" s="8">
        <f t="shared" si="6"/>
        <v>894.3995000000002</v>
      </c>
      <c r="H74" s="3">
        <v>32</v>
      </c>
      <c r="I74" s="51"/>
      <c r="J74" s="11"/>
      <c r="Q74" s="162"/>
      <c r="R74" s="162"/>
      <c r="S74" s="162"/>
      <c r="T74" s="162"/>
      <c r="X74" s="10">
        <f t="shared" si="7"/>
        <v>273.4742736331507</v>
      </c>
      <c r="Y74" s="10">
        <f t="shared" si="8"/>
        <v>453.272893375223</v>
      </c>
      <c r="Z74" s="10">
        <f t="shared" si="9"/>
        <v>273.4742736331507</v>
      </c>
      <c r="AA74" s="10">
        <f t="shared" si="10"/>
        <v>453.272893375223</v>
      </c>
    </row>
    <row r="75" spans="1:27" ht="12.75">
      <c r="A75" s="201"/>
      <c r="B75" s="211"/>
      <c r="C75" s="211"/>
      <c r="D75" s="211"/>
      <c r="E75" s="228"/>
      <c r="F75" s="3">
        <v>8.0792</v>
      </c>
      <c r="G75" s="8">
        <f t="shared" si="6"/>
        <v>902.4787000000002</v>
      </c>
      <c r="H75" s="3">
        <v>33</v>
      </c>
      <c r="I75" s="51"/>
      <c r="J75" s="11"/>
      <c r="Q75" s="162"/>
      <c r="R75" s="162"/>
      <c r="S75" s="162"/>
      <c r="T75" s="162"/>
      <c r="X75" s="10">
        <f t="shared" si="7"/>
        <v>273.4742736331507</v>
      </c>
      <c r="Y75" s="10">
        <f t="shared" si="8"/>
        <v>453.272893375223</v>
      </c>
      <c r="Z75" s="10">
        <f t="shared" si="9"/>
        <v>273.4742736331507</v>
      </c>
      <c r="AA75" s="10">
        <f t="shared" si="10"/>
        <v>453.272893375223</v>
      </c>
    </row>
    <row r="76" spans="1:27" ht="12.75">
      <c r="A76" s="201"/>
      <c r="B76" s="211"/>
      <c r="C76" s="211"/>
      <c r="D76" s="211"/>
      <c r="E76" s="228"/>
      <c r="F76" s="3">
        <v>8.209</v>
      </c>
      <c r="G76" s="8">
        <f t="shared" si="6"/>
        <v>910.6877000000002</v>
      </c>
      <c r="H76" s="3">
        <v>34</v>
      </c>
      <c r="I76" s="51"/>
      <c r="J76" s="11"/>
      <c r="Q76" s="162"/>
      <c r="R76" s="162"/>
      <c r="S76" s="162"/>
      <c r="T76" s="162"/>
      <c r="X76" s="10">
        <f t="shared" si="7"/>
        <v>273.4742736331507</v>
      </c>
      <c r="Y76" s="10">
        <f t="shared" si="8"/>
        <v>453.272893375223</v>
      </c>
      <c r="Z76" s="10">
        <f t="shared" si="9"/>
        <v>273.4742736331507</v>
      </c>
      <c r="AA76" s="10">
        <f t="shared" si="10"/>
        <v>453.272893375223</v>
      </c>
    </row>
    <row r="77" spans="1:27" ht="12.75">
      <c r="A77" s="201"/>
      <c r="B77" s="211"/>
      <c r="C77" s="211"/>
      <c r="D77" s="211"/>
      <c r="E77" s="228"/>
      <c r="F77" s="3">
        <v>8.3362</v>
      </c>
      <c r="G77" s="8">
        <f t="shared" si="6"/>
        <v>919.0239000000001</v>
      </c>
      <c r="H77" s="3">
        <v>35</v>
      </c>
      <c r="I77" s="51"/>
      <c r="J77" s="11"/>
      <c r="Q77" s="162"/>
      <c r="R77" s="162"/>
      <c r="S77" s="162"/>
      <c r="T77" s="162"/>
      <c r="X77" s="10">
        <f t="shared" si="7"/>
        <v>273.4742736331507</v>
      </c>
      <c r="Y77" s="10">
        <f t="shared" si="8"/>
        <v>453.272893375223</v>
      </c>
      <c r="Z77" s="10">
        <f t="shared" si="9"/>
        <v>273.4742736331507</v>
      </c>
      <c r="AA77" s="10">
        <f t="shared" si="10"/>
        <v>453.272893375223</v>
      </c>
    </row>
    <row r="78" spans="1:27" ht="12.75">
      <c r="A78" s="201"/>
      <c r="B78" s="211"/>
      <c r="C78" s="211"/>
      <c r="D78" s="211"/>
      <c r="E78" s="228"/>
      <c r="F78" s="3">
        <v>8.4603</v>
      </c>
      <c r="G78" s="8">
        <f t="shared" si="6"/>
        <v>927.4842000000001</v>
      </c>
      <c r="H78" s="3">
        <v>36</v>
      </c>
      <c r="I78" s="51"/>
      <c r="J78" s="11"/>
      <c r="Q78" s="162"/>
      <c r="R78" s="162"/>
      <c r="S78" s="162"/>
      <c r="T78" s="162"/>
      <c r="X78" s="10">
        <f t="shared" si="7"/>
        <v>273.4742736331507</v>
      </c>
      <c r="Y78" s="10">
        <f t="shared" si="8"/>
        <v>453.272893375223</v>
      </c>
      <c r="Z78" s="10">
        <f t="shared" si="9"/>
        <v>273.4742736331507</v>
      </c>
      <c r="AA78" s="10">
        <f t="shared" si="10"/>
        <v>453.272893375223</v>
      </c>
    </row>
    <row r="79" spans="1:27" ht="12.75">
      <c r="A79" s="201"/>
      <c r="B79" s="212"/>
      <c r="C79" s="212"/>
      <c r="D79" s="212"/>
      <c r="E79" s="209"/>
      <c r="F79" s="3">
        <v>8.5843</v>
      </c>
      <c r="G79" s="8">
        <f t="shared" si="6"/>
        <v>936.0685000000001</v>
      </c>
      <c r="H79" s="3">
        <v>37</v>
      </c>
      <c r="I79" s="50">
        <v>3.4822</v>
      </c>
      <c r="J79" s="11"/>
      <c r="Q79" s="162"/>
      <c r="R79" s="162"/>
      <c r="S79" s="162"/>
      <c r="T79" s="162"/>
      <c r="X79" s="10">
        <f t="shared" si="7"/>
        <v>273.4742736331507</v>
      </c>
      <c r="Y79" s="10">
        <f t="shared" si="8"/>
        <v>453.272893375223</v>
      </c>
      <c r="Z79" s="10">
        <f t="shared" si="9"/>
        <v>273.4742736331507</v>
      </c>
      <c r="AA79" s="10">
        <f t="shared" si="10"/>
        <v>453.272893375223</v>
      </c>
    </row>
    <row r="80" spans="1:27" ht="12.75">
      <c r="A80" s="47" t="s">
        <v>63</v>
      </c>
      <c r="B80" s="32">
        <f>C67</f>
        <v>938.5096000000001</v>
      </c>
      <c r="C80" s="32">
        <f>B84</f>
        <v>967.8660500000001</v>
      </c>
      <c r="D80" s="66" t="s">
        <v>64</v>
      </c>
      <c r="E80" s="80" t="s">
        <v>107</v>
      </c>
      <c r="F80" s="18"/>
      <c r="G80" s="8"/>
      <c r="H80" s="3"/>
      <c r="I80" s="65"/>
      <c r="J80" s="11"/>
      <c r="N80" s="1">
        <f>($S$291-(B80+C80)/2)/100</f>
        <v>22.505625050000003</v>
      </c>
      <c r="O80" s="1"/>
      <c r="P80" s="1"/>
      <c r="Q80" s="162">
        <f>B80</f>
        <v>938.5096000000001</v>
      </c>
      <c r="R80" s="162">
        <v>0</v>
      </c>
      <c r="S80" s="162">
        <f>C80</f>
        <v>967.8660500000001</v>
      </c>
      <c r="T80" s="162">
        <v>0</v>
      </c>
      <c r="X80" s="10">
        <f t="shared" si="7"/>
        <v>282.1449717371222</v>
      </c>
      <c r="Y80" s="10">
        <f t="shared" si="8"/>
        <v>449.68137262225486</v>
      </c>
      <c r="Z80" s="10">
        <f t="shared" si="9"/>
        <v>282.4161899701103</v>
      </c>
      <c r="AA80" s="10">
        <f t="shared" si="10"/>
        <v>449.5690303516926</v>
      </c>
    </row>
    <row r="81" spans="1:27" ht="12.75">
      <c r="A81" s="49" t="s">
        <v>31</v>
      </c>
      <c r="B81" s="12">
        <f>G79+6.575-0.5*$M$3</f>
        <v>942.3935000000001</v>
      </c>
      <c r="C81" s="12">
        <f>B81+$L$3</f>
        <v>947.4935000000002</v>
      </c>
      <c r="D81" s="25">
        <v>18</v>
      </c>
      <c r="E81" s="81" t="s">
        <v>108</v>
      </c>
      <c r="F81" s="7"/>
      <c r="G81" s="8"/>
      <c r="H81" s="3"/>
      <c r="I81" s="51"/>
      <c r="J81" s="11"/>
      <c r="Q81" s="162">
        <f>B81</f>
        <v>942.3935000000001</v>
      </c>
      <c r="R81" s="162">
        <v>0</v>
      </c>
      <c r="S81" s="162">
        <f>C81</f>
        <v>947.4935000000002</v>
      </c>
      <c r="T81" s="162">
        <v>0</v>
      </c>
      <c r="X81" s="10">
        <f t="shared" si="7"/>
        <v>282.18085429428095</v>
      </c>
      <c r="Y81" s="10">
        <f t="shared" si="8"/>
        <v>449.6665095804144</v>
      </c>
      <c r="Z81" s="10">
        <f t="shared" si="9"/>
        <v>282.2279721504331</v>
      </c>
      <c r="AA81" s="10">
        <f t="shared" si="10"/>
        <v>449.6469927253496</v>
      </c>
    </row>
    <row r="82" spans="1:27" ht="12.75">
      <c r="A82" s="49" t="s">
        <v>32</v>
      </c>
      <c r="B82" s="31">
        <f>C81+1.8-0.5*($M$3+$M$10)</f>
        <v>948.7935000000001</v>
      </c>
      <c r="C82" s="31">
        <f>B82+$L$10</f>
        <v>957.6935000000001</v>
      </c>
      <c r="D82" s="31">
        <v>18</v>
      </c>
      <c r="E82" s="81" t="s">
        <v>109</v>
      </c>
      <c r="F82" s="7"/>
      <c r="G82" s="8"/>
      <c r="H82" s="3"/>
      <c r="I82" s="51"/>
      <c r="J82" s="11"/>
      <c r="O82" s="1">
        <f>($S$291-(B82+C82)/2)/100</f>
        <v>22.5050683</v>
      </c>
      <c r="Q82" s="162">
        <f>B82</f>
        <v>948.7935000000001</v>
      </c>
      <c r="R82" s="162">
        <v>0</v>
      </c>
      <c r="S82" s="162">
        <f>C82</f>
        <v>957.6935000000001</v>
      </c>
      <c r="T82" s="162">
        <v>0</v>
      </c>
      <c r="X82" s="10">
        <f t="shared" si="7"/>
        <v>282.23998258435427</v>
      </c>
      <c r="Y82" s="10">
        <f t="shared" si="8"/>
        <v>449.64201784072526</v>
      </c>
      <c r="Z82" s="10">
        <f t="shared" si="9"/>
        <v>282.3222078627375</v>
      </c>
      <c r="AA82" s="10">
        <f t="shared" si="10"/>
        <v>449.60795901522</v>
      </c>
    </row>
    <row r="83" spans="1:27" ht="12.75">
      <c r="A83" s="49" t="s">
        <v>31</v>
      </c>
      <c r="B83" s="31">
        <f>C82+1.8-0.5*($M$3+$M$10)</f>
        <v>958.9935</v>
      </c>
      <c r="C83" s="31">
        <f>B83+$L$3</f>
        <v>964.0935000000001</v>
      </c>
      <c r="D83" s="31">
        <v>18</v>
      </c>
      <c r="E83" s="81" t="s">
        <v>110</v>
      </c>
      <c r="F83" s="7"/>
      <c r="G83" s="8"/>
      <c r="H83" s="3"/>
      <c r="I83" s="51"/>
      <c r="J83" s="11"/>
      <c r="Q83" s="162">
        <f>B83</f>
        <v>958.9935</v>
      </c>
      <c r="R83" s="162">
        <v>0</v>
      </c>
      <c r="S83" s="162">
        <f>C83</f>
        <v>964.0935000000001</v>
      </c>
      <c r="T83" s="162">
        <v>0</v>
      </c>
      <c r="X83" s="10">
        <f t="shared" si="7"/>
        <v>282.33421829665866</v>
      </c>
      <c r="Y83" s="10">
        <f t="shared" si="8"/>
        <v>449.60298413059564</v>
      </c>
      <c r="Z83" s="10">
        <f t="shared" si="9"/>
        <v>282.38133615281083</v>
      </c>
      <c r="AA83" s="10">
        <f t="shared" si="10"/>
        <v>449.58346727553084</v>
      </c>
    </row>
    <row r="84" spans="1:27" ht="12.75">
      <c r="A84" s="201" t="s">
        <v>9</v>
      </c>
      <c r="B84" s="210">
        <f>G84-I84/2-$L$15</f>
        <v>967.8660500000001</v>
      </c>
      <c r="C84" s="210">
        <f>G97+I97/2+$L$15</f>
        <v>1097.4621000000002</v>
      </c>
      <c r="D84" s="210">
        <v>47</v>
      </c>
      <c r="E84" s="208" t="s">
        <v>107</v>
      </c>
      <c r="F84" s="3">
        <v>34.35</v>
      </c>
      <c r="G84" s="8">
        <f>G79+F84</f>
        <v>970.4185000000001</v>
      </c>
      <c r="H84" s="3">
        <v>38</v>
      </c>
      <c r="I84" s="50">
        <v>3.7049</v>
      </c>
      <c r="J84" s="11"/>
      <c r="Q84" s="162">
        <f>B84</f>
        <v>967.8660500000001</v>
      </c>
      <c r="R84" s="162">
        <v>0</v>
      </c>
      <c r="S84" s="162">
        <f>C84</f>
        <v>1097.4621000000002</v>
      </c>
      <c r="T84" s="162">
        <v>0</v>
      </c>
      <c r="X84" s="10">
        <f t="shared" si="7"/>
        <v>282.4161899701103</v>
      </c>
      <c r="Y84" s="10">
        <f t="shared" si="8"/>
        <v>449.5690303516926</v>
      </c>
      <c r="Z84" s="10">
        <f t="shared" si="9"/>
        <v>283.61350135085394</v>
      </c>
      <c r="AA84" s="10">
        <f t="shared" si="10"/>
        <v>449.07308773898234</v>
      </c>
    </row>
    <row r="85" spans="1:27" ht="12.75">
      <c r="A85" s="201"/>
      <c r="B85" s="211"/>
      <c r="C85" s="211"/>
      <c r="D85" s="211"/>
      <c r="E85" s="228"/>
      <c r="F85" s="3">
        <v>8.8681</v>
      </c>
      <c r="G85" s="8">
        <f>G84+F85</f>
        <v>979.2866000000001</v>
      </c>
      <c r="H85" s="3">
        <v>39</v>
      </c>
      <c r="I85" s="51"/>
      <c r="J85" s="11"/>
      <c r="Q85" s="162"/>
      <c r="R85" s="162"/>
      <c r="S85" s="162"/>
      <c r="T85" s="162"/>
      <c r="X85" s="10">
        <f t="shared" si="7"/>
        <v>273.4742736331507</v>
      </c>
      <c r="Y85" s="10">
        <f t="shared" si="8"/>
        <v>453.272893375223</v>
      </c>
      <c r="Z85" s="10">
        <f t="shared" si="9"/>
        <v>273.4742736331507</v>
      </c>
      <c r="AA85" s="10">
        <f t="shared" si="10"/>
        <v>453.272893375223</v>
      </c>
    </row>
    <row r="86" spans="1:27" ht="12.75">
      <c r="A86" s="201"/>
      <c r="B86" s="211"/>
      <c r="C86" s="211"/>
      <c r="D86" s="211"/>
      <c r="E86" s="228"/>
      <c r="F86" s="3">
        <v>8.9661</v>
      </c>
      <c r="G86" s="8">
        <f aca="true" t="shared" si="11" ref="G86:G97">G85+F86</f>
        <v>988.2527000000001</v>
      </c>
      <c r="H86" s="3">
        <v>40</v>
      </c>
      <c r="I86" s="51"/>
      <c r="J86" s="11"/>
      <c r="Q86" s="162"/>
      <c r="R86" s="162"/>
      <c r="S86" s="162"/>
      <c r="T86" s="162"/>
      <c r="X86" s="10">
        <f t="shared" si="7"/>
        <v>273.4742736331507</v>
      </c>
      <c r="Y86" s="10">
        <f t="shared" si="8"/>
        <v>453.272893375223</v>
      </c>
      <c r="Z86" s="10">
        <f t="shared" si="9"/>
        <v>273.4742736331507</v>
      </c>
      <c r="AA86" s="10">
        <f t="shared" si="10"/>
        <v>453.272893375223</v>
      </c>
    </row>
    <row r="87" spans="1:27" ht="12.75">
      <c r="A87" s="201"/>
      <c r="B87" s="211"/>
      <c r="C87" s="211"/>
      <c r="D87" s="211"/>
      <c r="E87" s="228"/>
      <c r="F87" s="3">
        <v>11.39</v>
      </c>
      <c r="G87" s="8">
        <f t="shared" si="11"/>
        <v>999.6427000000001</v>
      </c>
      <c r="H87" s="3">
        <v>41</v>
      </c>
      <c r="I87" s="51"/>
      <c r="J87" s="11"/>
      <c r="Q87" s="162"/>
      <c r="R87" s="162"/>
      <c r="S87" s="162"/>
      <c r="T87" s="162"/>
      <c r="X87" s="10">
        <f t="shared" si="7"/>
        <v>273.4742736331507</v>
      </c>
      <c r="Y87" s="10">
        <f t="shared" si="8"/>
        <v>453.272893375223</v>
      </c>
      <c r="Z87" s="10">
        <f t="shared" si="9"/>
        <v>273.4742736331507</v>
      </c>
      <c r="AA87" s="10">
        <f t="shared" si="10"/>
        <v>453.272893375223</v>
      </c>
    </row>
    <row r="88" spans="1:27" ht="12.75">
      <c r="A88" s="201"/>
      <c r="B88" s="211"/>
      <c r="C88" s="211"/>
      <c r="D88" s="211"/>
      <c r="E88" s="228"/>
      <c r="F88" s="3">
        <v>9.0065</v>
      </c>
      <c r="G88" s="8">
        <f t="shared" si="11"/>
        <v>1008.6492000000001</v>
      </c>
      <c r="H88" s="3">
        <v>42</v>
      </c>
      <c r="I88" s="51"/>
      <c r="J88" s="11"/>
      <c r="Q88" s="162"/>
      <c r="R88" s="162"/>
      <c r="S88" s="162"/>
      <c r="T88" s="162"/>
      <c r="X88" s="10">
        <f t="shared" si="7"/>
        <v>273.4742736331507</v>
      </c>
      <c r="Y88" s="10">
        <f t="shared" si="8"/>
        <v>453.272893375223</v>
      </c>
      <c r="Z88" s="10">
        <f t="shared" si="9"/>
        <v>273.4742736331507</v>
      </c>
      <c r="AA88" s="10">
        <f t="shared" si="10"/>
        <v>453.272893375223</v>
      </c>
    </row>
    <row r="89" spans="1:27" ht="12.75">
      <c r="A89" s="201"/>
      <c r="B89" s="211"/>
      <c r="C89" s="211"/>
      <c r="D89" s="211"/>
      <c r="E89" s="228"/>
      <c r="F89" s="3">
        <v>9.1337</v>
      </c>
      <c r="G89" s="8">
        <f t="shared" si="11"/>
        <v>1017.7829</v>
      </c>
      <c r="H89" s="3">
        <v>43</v>
      </c>
      <c r="I89" s="51"/>
      <c r="J89" s="11"/>
      <c r="Q89" s="162"/>
      <c r="R89" s="162"/>
      <c r="S89" s="162"/>
      <c r="T89" s="162"/>
      <c r="X89" s="10">
        <f t="shared" si="7"/>
        <v>273.4742736331507</v>
      </c>
      <c r="Y89" s="10">
        <f t="shared" si="8"/>
        <v>453.272893375223</v>
      </c>
      <c r="Z89" s="10">
        <f t="shared" si="9"/>
        <v>273.4742736331507</v>
      </c>
      <c r="AA89" s="10">
        <f t="shared" si="10"/>
        <v>453.272893375223</v>
      </c>
    </row>
    <row r="90" spans="1:27" ht="12.75">
      <c r="A90" s="201"/>
      <c r="B90" s="211"/>
      <c r="C90" s="211"/>
      <c r="D90" s="211"/>
      <c r="E90" s="228"/>
      <c r="F90" s="3">
        <v>9.2599</v>
      </c>
      <c r="G90" s="8">
        <f t="shared" si="11"/>
        <v>1027.0428</v>
      </c>
      <c r="H90" s="3">
        <v>44</v>
      </c>
      <c r="I90" s="51"/>
      <c r="J90" s="11"/>
      <c r="Q90" s="162"/>
      <c r="R90" s="162"/>
      <c r="S90" s="162"/>
      <c r="T90" s="162"/>
      <c r="X90" s="10">
        <f t="shared" si="7"/>
        <v>273.4742736331507</v>
      </c>
      <c r="Y90" s="10">
        <f t="shared" si="8"/>
        <v>453.272893375223</v>
      </c>
      <c r="Z90" s="10">
        <f t="shared" si="9"/>
        <v>273.4742736331507</v>
      </c>
      <c r="AA90" s="10">
        <f t="shared" si="10"/>
        <v>453.272893375223</v>
      </c>
    </row>
    <row r="91" spans="1:27" ht="12.75">
      <c r="A91" s="201"/>
      <c r="B91" s="211"/>
      <c r="C91" s="211"/>
      <c r="D91" s="211"/>
      <c r="E91" s="228"/>
      <c r="F91" s="3">
        <v>9.383</v>
      </c>
      <c r="G91" s="8">
        <f t="shared" si="11"/>
        <v>1036.4258</v>
      </c>
      <c r="H91" s="3">
        <v>45</v>
      </c>
      <c r="I91" s="51"/>
      <c r="J91" s="11"/>
      <c r="Q91" s="162"/>
      <c r="R91" s="162"/>
      <c r="S91" s="162"/>
      <c r="T91" s="162"/>
      <c r="X91" s="10">
        <f t="shared" si="7"/>
        <v>273.4742736331507</v>
      </c>
      <c r="Y91" s="10">
        <f t="shared" si="8"/>
        <v>453.272893375223</v>
      </c>
      <c r="Z91" s="10">
        <f t="shared" si="9"/>
        <v>273.4742736331507</v>
      </c>
      <c r="AA91" s="10">
        <f t="shared" si="10"/>
        <v>453.272893375223</v>
      </c>
    </row>
    <row r="92" spans="1:27" ht="12.75">
      <c r="A92" s="201"/>
      <c r="B92" s="211"/>
      <c r="C92" s="211"/>
      <c r="D92" s="211"/>
      <c r="E92" s="228"/>
      <c r="F92" s="3">
        <v>9.5042</v>
      </c>
      <c r="G92" s="8">
        <f t="shared" si="11"/>
        <v>1045.93</v>
      </c>
      <c r="H92" s="3">
        <v>46</v>
      </c>
      <c r="I92" s="51"/>
      <c r="J92" s="11"/>
      <c r="Q92" s="162"/>
      <c r="R92" s="162"/>
      <c r="S92" s="162"/>
      <c r="T92" s="162"/>
      <c r="X92" s="10">
        <f t="shared" si="7"/>
        <v>273.4742736331507</v>
      </c>
      <c r="Y92" s="10">
        <f t="shared" si="8"/>
        <v>453.272893375223</v>
      </c>
      <c r="Z92" s="10">
        <f t="shared" si="9"/>
        <v>273.4742736331507</v>
      </c>
      <c r="AA92" s="10">
        <f t="shared" si="10"/>
        <v>453.272893375223</v>
      </c>
    </row>
    <row r="93" spans="1:27" ht="12.75">
      <c r="A93" s="201"/>
      <c r="B93" s="211"/>
      <c r="C93" s="211"/>
      <c r="D93" s="211"/>
      <c r="E93" s="228"/>
      <c r="F93" s="3">
        <v>9.6229</v>
      </c>
      <c r="G93" s="8">
        <f t="shared" si="11"/>
        <v>1055.5529000000001</v>
      </c>
      <c r="H93" s="3">
        <v>47</v>
      </c>
      <c r="I93" s="51"/>
      <c r="J93" s="11"/>
      <c r="Q93" s="162"/>
      <c r="R93" s="162"/>
      <c r="S93" s="162"/>
      <c r="T93" s="162"/>
      <c r="X93" s="10">
        <f t="shared" si="7"/>
        <v>273.4742736331507</v>
      </c>
      <c r="Y93" s="10">
        <f t="shared" si="8"/>
        <v>453.272893375223</v>
      </c>
      <c r="Z93" s="10">
        <f t="shared" si="9"/>
        <v>273.4742736331507</v>
      </c>
      <c r="AA93" s="10">
        <f t="shared" si="10"/>
        <v>453.272893375223</v>
      </c>
    </row>
    <row r="94" spans="1:27" ht="12.75">
      <c r="A94" s="201"/>
      <c r="B94" s="211"/>
      <c r="C94" s="211"/>
      <c r="D94" s="211"/>
      <c r="E94" s="228"/>
      <c r="F94" s="3">
        <v>9.7401</v>
      </c>
      <c r="G94" s="8">
        <f t="shared" si="11"/>
        <v>1065.2930000000001</v>
      </c>
      <c r="H94" s="3">
        <v>48</v>
      </c>
      <c r="I94" s="51"/>
      <c r="J94" s="11"/>
      <c r="Q94" s="162"/>
      <c r="R94" s="162"/>
      <c r="S94" s="162"/>
      <c r="T94" s="162"/>
      <c r="X94" s="10">
        <f t="shared" si="7"/>
        <v>273.4742736331507</v>
      </c>
      <c r="Y94" s="10">
        <f t="shared" si="8"/>
        <v>453.272893375223</v>
      </c>
      <c r="Z94" s="10">
        <f t="shared" si="9"/>
        <v>273.4742736331507</v>
      </c>
      <c r="AA94" s="10">
        <f t="shared" si="10"/>
        <v>453.272893375223</v>
      </c>
    </row>
    <row r="95" spans="1:27" ht="12.75">
      <c r="A95" s="201"/>
      <c r="B95" s="211"/>
      <c r="C95" s="211"/>
      <c r="D95" s="211"/>
      <c r="E95" s="228"/>
      <c r="F95" s="3">
        <v>9.8536</v>
      </c>
      <c r="G95" s="8">
        <f t="shared" si="11"/>
        <v>1075.1466</v>
      </c>
      <c r="H95" s="3">
        <v>49</v>
      </c>
      <c r="I95" s="51"/>
      <c r="J95" s="11"/>
      <c r="Q95" s="162"/>
      <c r="R95" s="162"/>
      <c r="S95" s="162"/>
      <c r="T95" s="162"/>
      <c r="X95" s="10">
        <f t="shared" si="7"/>
        <v>273.4742736331507</v>
      </c>
      <c r="Y95" s="10">
        <f t="shared" si="8"/>
        <v>453.272893375223</v>
      </c>
      <c r="Z95" s="10">
        <f t="shared" si="9"/>
        <v>273.4742736331507</v>
      </c>
      <c r="AA95" s="10">
        <f t="shared" si="10"/>
        <v>453.272893375223</v>
      </c>
    </row>
    <row r="96" spans="1:27" ht="12.75">
      <c r="A96" s="201"/>
      <c r="B96" s="211"/>
      <c r="C96" s="211"/>
      <c r="D96" s="211"/>
      <c r="E96" s="228"/>
      <c r="F96" s="3">
        <v>9.9619</v>
      </c>
      <c r="G96" s="8">
        <f t="shared" si="11"/>
        <v>1085.1085</v>
      </c>
      <c r="H96" s="3">
        <v>50</v>
      </c>
      <c r="I96" s="51"/>
      <c r="J96" s="11"/>
      <c r="Q96" s="162"/>
      <c r="R96" s="162"/>
      <c r="S96" s="162"/>
      <c r="T96" s="162"/>
      <c r="X96" s="10">
        <f t="shared" si="7"/>
        <v>273.4742736331507</v>
      </c>
      <c r="Y96" s="10">
        <f t="shared" si="8"/>
        <v>453.272893375223</v>
      </c>
      <c r="Z96" s="10">
        <f t="shared" si="9"/>
        <v>273.4742736331507</v>
      </c>
      <c r="AA96" s="10">
        <f t="shared" si="10"/>
        <v>453.272893375223</v>
      </c>
    </row>
    <row r="97" spans="1:27" ht="12.75">
      <c r="A97" s="201"/>
      <c r="B97" s="212"/>
      <c r="C97" s="212"/>
      <c r="D97" s="212"/>
      <c r="E97" s="209"/>
      <c r="F97" s="3">
        <v>10.0631</v>
      </c>
      <c r="G97" s="8">
        <f t="shared" si="11"/>
        <v>1095.1716000000001</v>
      </c>
      <c r="H97" s="3">
        <v>51</v>
      </c>
      <c r="I97" s="50">
        <v>3.181</v>
      </c>
      <c r="J97" s="11"/>
      <c r="Q97" s="162"/>
      <c r="R97" s="162"/>
      <c r="S97" s="162"/>
      <c r="T97" s="162"/>
      <c r="X97" s="10">
        <f t="shared" si="7"/>
        <v>273.4742736331507</v>
      </c>
      <c r="Y97" s="10">
        <f t="shared" si="8"/>
        <v>453.272893375223</v>
      </c>
      <c r="Z97" s="10">
        <f t="shared" si="9"/>
        <v>273.4742736331507</v>
      </c>
      <c r="AA97" s="10">
        <f t="shared" si="10"/>
        <v>453.272893375223</v>
      </c>
    </row>
    <row r="98" spans="1:27" ht="12.75">
      <c r="A98" s="49" t="s">
        <v>31</v>
      </c>
      <c r="B98" s="12">
        <f>G97+6-0.5*$M$3</f>
        <v>1100.9216000000001</v>
      </c>
      <c r="C98" s="12">
        <f>B98+$L$3</f>
        <v>1106.0216</v>
      </c>
      <c r="D98" s="25">
        <v>18</v>
      </c>
      <c r="E98" s="81" t="s">
        <v>111</v>
      </c>
      <c r="F98" s="7"/>
      <c r="G98" s="8"/>
      <c r="H98" s="3"/>
      <c r="I98" s="51"/>
      <c r="J98" s="11"/>
      <c r="Q98" s="162">
        <f>B98</f>
        <v>1100.9216000000001</v>
      </c>
      <c r="R98" s="162">
        <v>0</v>
      </c>
      <c r="S98" s="162">
        <f>C98</f>
        <v>1106.0216</v>
      </c>
      <c r="T98" s="162">
        <v>0</v>
      </c>
      <c r="X98" s="10">
        <f t="shared" si="7"/>
        <v>283.64546296327717</v>
      </c>
      <c r="Y98" s="10">
        <f t="shared" si="8"/>
        <v>449.05984880563</v>
      </c>
      <c r="Z98" s="10">
        <f t="shared" si="9"/>
        <v>283.6925808194294</v>
      </c>
      <c r="AA98" s="10">
        <f t="shared" si="10"/>
        <v>449.0403319505652</v>
      </c>
    </row>
    <row r="99" spans="1:27" ht="12.75">
      <c r="A99" s="49" t="s">
        <v>32</v>
      </c>
      <c r="B99" s="31">
        <f>C98+1.8-0.5*($M$3+$M$10)</f>
        <v>1107.3216</v>
      </c>
      <c r="C99" s="31">
        <f>B99+$L$10</f>
        <v>1116.2216</v>
      </c>
      <c r="D99" s="31">
        <v>18</v>
      </c>
      <c r="E99" s="81" t="s">
        <v>112</v>
      </c>
      <c r="F99" s="7"/>
      <c r="G99" s="8"/>
      <c r="H99" s="3"/>
      <c r="I99" s="51"/>
      <c r="J99" s="11"/>
      <c r="O99" s="1">
        <f>($S$291-(B99+C99)/2)/100</f>
        <v>20.919787300000003</v>
      </c>
      <c r="Q99" s="162">
        <f>B99</f>
        <v>1107.3216</v>
      </c>
      <c r="R99" s="162">
        <v>0</v>
      </c>
      <c r="S99" s="162">
        <f>C99</f>
        <v>1116.2216</v>
      </c>
      <c r="T99" s="162">
        <v>0</v>
      </c>
      <c r="X99" s="10">
        <f t="shared" si="7"/>
        <v>283.70459125335054</v>
      </c>
      <c r="Y99" s="10">
        <f t="shared" si="8"/>
        <v>449.03535706594084</v>
      </c>
      <c r="Z99" s="10">
        <f t="shared" si="9"/>
        <v>283.7868165317338</v>
      </c>
      <c r="AA99" s="10">
        <f t="shared" si="10"/>
        <v>449.0012982404356</v>
      </c>
    </row>
    <row r="100" spans="1:27" ht="12.75">
      <c r="A100" s="49" t="s">
        <v>31</v>
      </c>
      <c r="B100" s="31">
        <f>C99+1.8-0.5*($M$3+$M$10)</f>
        <v>1117.5216</v>
      </c>
      <c r="C100" s="31">
        <f>B100+$L$3</f>
        <v>1122.6216</v>
      </c>
      <c r="D100" s="31">
        <v>18</v>
      </c>
      <c r="E100" s="81" t="s">
        <v>113</v>
      </c>
      <c r="F100" s="7"/>
      <c r="G100" s="8"/>
      <c r="H100" s="3"/>
      <c r="I100" s="51"/>
      <c r="J100" s="11"/>
      <c r="P100" s="1">
        <f>($S$291-C100-250)/100</f>
        <v>18.311287300000004</v>
      </c>
      <c r="Q100" s="162">
        <f>B100</f>
        <v>1117.5216</v>
      </c>
      <c r="R100" s="162">
        <v>0</v>
      </c>
      <c r="S100" s="162">
        <f>C100</f>
        <v>1122.6216</v>
      </c>
      <c r="T100" s="162">
        <v>0</v>
      </c>
      <c r="X100" s="10">
        <f t="shared" si="7"/>
        <v>283.79882696565494</v>
      </c>
      <c r="Y100" s="10">
        <f t="shared" si="8"/>
        <v>448.9963233558112</v>
      </c>
      <c r="Z100" s="10">
        <f t="shared" si="9"/>
        <v>283.8459448218071</v>
      </c>
      <c r="AA100" s="10">
        <f t="shared" si="10"/>
        <v>448.9768065007464</v>
      </c>
    </row>
    <row r="101" spans="1:27" ht="12.75">
      <c r="A101" s="58" t="s">
        <v>30</v>
      </c>
      <c r="B101" s="12">
        <f>C100+1</f>
        <v>1123.6216</v>
      </c>
      <c r="C101" s="12">
        <f>B101+4</f>
        <v>1127.6216</v>
      </c>
      <c r="D101" s="25">
        <v>3</v>
      </c>
      <c r="E101" s="81" t="s">
        <v>114</v>
      </c>
      <c r="F101" s="7"/>
      <c r="G101" s="8"/>
      <c r="H101" s="3"/>
      <c r="I101" s="51"/>
      <c r="J101" s="14"/>
      <c r="Q101" s="162">
        <f>B101</f>
        <v>1123.6216</v>
      </c>
      <c r="R101" s="162">
        <v>0</v>
      </c>
      <c r="S101" s="162">
        <f>C101</f>
        <v>1127.6216</v>
      </c>
      <c r="T101" s="162">
        <v>0</v>
      </c>
      <c r="X101" s="10">
        <f t="shared" si="7"/>
        <v>283.85518361713105</v>
      </c>
      <c r="Y101" s="10">
        <f t="shared" si="8"/>
        <v>448.97297966642</v>
      </c>
      <c r="Z101" s="10">
        <f t="shared" si="9"/>
        <v>283.8921387984269</v>
      </c>
      <c r="AA101" s="10">
        <f t="shared" si="10"/>
        <v>448.95767232911425</v>
      </c>
    </row>
    <row r="102" spans="1:27" ht="12.75">
      <c r="A102" s="201" t="s">
        <v>10</v>
      </c>
      <c r="B102" s="210">
        <f>G102-I102/2-$L$15</f>
        <v>1130.4059000000002</v>
      </c>
      <c r="C102" s="210">
        <f>G116+I116/2+$L$15</f>
        <v>1289.0316000000003</v>
      </c>
      <c r="D102" s="210">
        <v>49</v>
      </c>
      <c r="E102" s="208" t="s">
        <v>115</v>
      </c>
      <c r="F102" s="3">
        <v>38.2</v>
      </c>
      <c r="G102" s="8">
        <f>G97+F102</f>
        <v>1133.3716000000002</v>
      </c>
      <c r="H102" s="3">
        <v>52</v>
      </c>
      <c r="I102" s="50">
        <v>4.5314</v>
      </c>
      <c r="J102" s="11"/>
      <c r="Q102" s="162">
        <f>B102</f>
        <v>1130.4059000000002</v>
      </c>
      <c r="R102" s="162">
        <v>0</v>
      </c>
      <c r="S102" s="162">
        <f>C102</f>
        <v>1289.0316000000003</v>
      </c>
      <c r="T102" s="162">
        <v>0</v>
      </c>
      <c r="X102" s="10">
        <f t="shared" si="7"/>
        <v>283.9178623762474</v>
      </c>
      <c r="Y102" s="10">
        <f t="shared" si="8"/>
        <v>448.9470172742991</v>
      </c>
      <c r="Z102" s="10">
        <f t="shared" si="9"/>
        <v>285.3833727516673</v>
      </c>
      <c r="AA102" s="10">
        <f t="shared" si="10"/>
        <v>448.33998300048444</v>
      </c>
    </row>
    <row r="103" spans="1:27" ht="12.75">
      <c r="A103" s="201"/>
      <c r="B103" s="211"/>
      <c r="C103" s="211"/>
      <c r="D103" s="211"/>
      <c r="E103" s="228"/>
      <c r="F103" s="3">
        <v>10.333</v>
      </c>
      <c r="G103" s="8">
        <f>G102+F103</f>
        <v>1143.7046000000003</v>
      </c>
      <c r="H103" s="3">
        <v>53</v>
      </c>
      <c r="I103" s="51"/>
      <c r="J103" s="11"/>
      <c r="Q103" s="162"/>
      <c r="R103" s="162"/>
      <c r="S103" s="162"/>
      <c r="T103" s="162"/>
      <c r="X103" s="10">
        <f t="shared" si="7"/>
        <v>273.4742736331507</v>
      </c>
      <c r="Y103" s="10">
        <f t="shared" si="8"/>
        <v>453.272893375223</v>
      </c>
      <c r="Z103" s="10">
        <f t="shared" si="9"/>
        <v>273.4742736331507</v>
      </c>
      <c r="AA103" s="10">
        <f t="shared" si="10"/>
        <v>453.272893375223</v>
      </c>
    </row>
    <row r="104" spans="1:27" ht="12.75">
      <c r="A104" s="201"/>
      <c r="B104" s="211"/>
      <c r="C104" s="211"/>
      <c r="D104" s="211"/>
      <c r="E104" s="228"/>
      <c r="F104" s="3">
        <v>10.3995</v>
      </c>
      <c r="G104" s="8">
        <f aca="true" t="shared" si="12" ref="G104:G116">G103+F104</f>
        <v>1154.1041000000002</v>
      </c>
      <c r="H104" s="3">
        <v>54</v>
      </c>
      <c r="I104" s="51"/>
      <c r="J104" s="11"/>
      <c r="Q104" s="162"/>
      <c r="R104" s="162"/>
      <c r="S104" s="162"/>
      <c r="T104" s="162"/>
      <c r="X104" s="10">
        <f t="shared" si="7"/>
        <v>273.4742736331507</v>
      </c>
      <c r="Y104" s="10">
        <f t="shared" si="8"/>
        <v>453.272893375223</v>
      </c>
      <c r="Z104" s="10">
        <f t="shared" si="9"/>
        <v>273.4742736331507</v>
      </c>
      <c r="AA104" s="10">
        <f t="shared" si="10"/>
        <v>453.272893375223</v>
      </c>
    </row>
    <row r="105" spans="1:27" ht="12.75">
      <c r="A105" s="201"/>
      <c r="B105" s="211"/>
      <c r="C105" s="211"/>
      <c r="D105" s="211"/>
      <c r="E105" s="228"/>
      <c r="F105" s="3">
        <v>12.555</v>
      </c>
      <c r="G105" s="8">
        <f t="shared" si="12"/>
        <v>1166.6591000000003</v>
      </c>
      <c r="H105" s="3">
        <v>55</v>
      </c>
      <c r="I105" s="51"/>
      <c r="J105" s="11"/>
      <c r="Q105" s="162"/>
      <c r="R105" s="162"/>
      <c r="S105" s="162"/>
      <c r="T105" s="162"/>
      <c r="X105" s="10">
        <f t="shared" si="7"/>
        <v>273.4742736331507</v>
      </c>
      <c r="Y105" s="10">
        <f t="shared" si="8"/>
        <v>453.272893375223</v>
      </c>
      <c r="Z105" s="10">
        <f t="shared" si="9"/>
        <v>273.4742736331507</v>
      </c>
      <c r="AA105" s="10">
        <f t="shared" si="10"/>
        <v>453.272893375223</v>
      </c>
    </row>
    <row r="106" spans="1:27" ht="12.75">
      <c r="A106" s="201"/>
      <c r="B106" s="211"/>
      <c r="C106" s="211"/>
      <c r="D106" s="211"/>
      <c r="E106" s="228"/>
      <c r="F106" s="3">
        <v>10.4107</v>
      </c>
      <c r="G106" s="8">
        <f t="shared" si="12"/>
        <v>1177.0698000000002</v>
      </c>
      <c r="H106" s="3">
        <v>56</v>
      </c>
      <c r="I106" s="51"/>
      <c r="J106" s="11"/>
      <c r="Q106" s="162"/>
      <c r="R106" s="162"/>
      <c r="S106" s="162"/>
      <c r="T106" s="162"/>
      <c r="X106" s="10">
        <f t="shared" si="7"/>
        <v>273.4742736331507</v>
      </c>
      <c r="Y106" s="10">
        <f t="shared" si="8"/>
        <v>453.272893375223</v>
      </c>
      <c r="Z106" s="10">
        <f t="shared" si="9"/>
        <v>273.4742736331507</v>
      </c>
      <c r="AA106" s="10">
        <f t="shared" si="10"/>
        <v>453.272893375223</v>
      </c>
    </row>
    <row r="107" spans="1:27" ht="12.75">
      <c r="A107" s="201"/>
      <c r="B107" s="211"/>
      <c r="C107" s="211"/>
      <c r="D107" s="211"/>
      <c r="E107" s="228"/>
      <c r="F107" s="3">
        <v>10.5047</v>
      </c>
      <c r="G107" s="8">
        <f t="shared" si="12"/>
        <v>1187.5745000000002</v>
      </c>
      <c r="H107" s="3">
        <v>57</v>
      </c>
      <c r="I107" s="51"/>
      <c r="J107" s="11"/>
      <c r="Q107" s="162"/>
      <c r="R107" s="162"/>
      <c r="S107" s="162"/>
      <c r="T107" s="162"/>
      <c r="X107" s="10">
        <f t="shared" si="7"/>
        <v>273.4742736331507</v>
      </c>
      <c r="Y107" s="10">
        <f t="shared" si="8"/>
        <v>453.272893375223</v>
      </c>
      <c r="Z107" s="10">
        <f t="shared" si="9"/>
        <v>273.4742736331507</v>
      </c>
      <c r="AA107" s="10">
        <f t="shared" si="10"/>
        <v>453.272893375223</v>
      </c>
    </row>
    <row r="108" spans="1:27" ht="12.75">
      <c r="A108" s="201"/>
      <c r="B108" s="211"/>
      <c r="C108" s="211"/>
      <c r="D108" s="211"/>
      <c r="E108" s="228"/>
      <c r="F108" s="3">
        <v>10.5987</v>
      </c>
      <c r="G108" s="8">
        <f t="shared" si="12"/>
        <v>1198.1732000000002</v>
      </c>
      <c r="H108" s="3">
        <v>58</v>
      </c>
      <c r="I108" s="51"/>
      <c r="J108" s="11"/>
      <c r="Q108" s="162"/>
      <c r="R108" s="162"/>
      <c r="S108" s="162"/>
      <c r="T108" s="162"/>
      <c r="X108" s="10">
        <f t="shared" si="7"/>
        <v>273.4742736331507</v>
      </c>
      <c r="Y108" s="10">
        <f t="shared" si="8"/>
        <v>453.272893375223</v>
      </c>
      <c r="Z108" s="10">
        <f t="shared" si="9"/>
        <v>273.4742736331507</v>
      </c>
      <c r="AA108" s="10">
        <f t="shared" si="10"/>
        <v>453.272893375223</v>
      </c>
    </row>
    <row r="109" spans="1:27" ht="12.75">
      <c r="A109" s="201"/>
      <c r="B109" s="211"/>
      <c r="C109" s="211"/>
      <c r="D109" s="211"/>
      <c r="E109" s="228"/>
      <c r="F109" s="3">
        <v>10.6925</v>
      </c>
      <c r="G109" s="8">
        <f t="shared" si="12"/>
        <v>1208.8657000000003</v>
      </c>
      <c r="H109" s="3">
        <v>59</v>
      </c>
      <c r="I109" s="51"/>
      <c r="J109" s="11"/>
      <c r="Q109" s="162"/>
      <c r="R109" s="162"/>
      <c r="S109" s="162"/>
      <c r="T109" s="162"/>
      <c r="X109" s="10">
        <f t="shared" si="7"/>
        <v>273.4742736331507</v>
      </c>
      <c r="Y109" s="10">
        <f t="shared" si="8"/>
        <v>453.272893375223</v>
      </c>
      <c r="Z109" s="10">
        <f t="shared" si="9"/>
        <v>273.4742736331507</v>
      </c>
      <c r="AA109" s="10">
        <f t="shared" si="10"/>
        <v>453.272893375223</v>
      </c>
    </row>
    <row r="110" spans="1:27" ht="12.75">
      <c r="A110" s="201"/>
      <c r="B110" s="211"/>
      <c r="C110" s="211"/>
      <c r="D110" s="211"/>
      <c r="E110" s="228"/>
      <c r="F110" s="3">
        <v>10.7855</v>
      </c>
      <c r="G110" s="8">
        <f t="shared" si="12"/>
        <v>1219.6512000000002</v>
      </c>
      <c r="H110" s="3">
        <v>60</v>
      </c>
      <c r="I110" s="51"/>
      <c r="J110" s="11"/>
      <c r="Q110" s="162"/>
      <c r="R110" s="162"/>
      <c r="S110" s="162"/>
      <c r="T110" s="162"/>
      <c r="X110" s="10">
        <f t="shared" si="7"/>
        <v>273.4742736331507</v>
      </c>
      <c r="Y110" s="10">
        <f t="shared" si="8"/>
        <v>453.272893375223</v>
      </c>
      <c r="Z110" s="10">
        <f t="shared" si="9"/>
        <v>273.4742736331507</v>
      </c>
      <c r="AA110" s="10">
        <f t="shared" si="10"/>
        <v>453.272893375223</v>
      </c>
    </row>
    <row r="111" spans="1:27" ht="12.75">
      <c r="A111" s="201"/>
      <c r="B111" s="211"/>
      <c r="C111" s="211"/>
      <c r="D111" s="211"/>
      <c r="E111" s="228"/>
      <c r="F111" s="3">
        <v>10.8778</v>
      </c>
      <c r="G111" s="8">
        <f t="shared" si="12"/>
        <v>1230.5290000000002</v>
      </c>
      <c r="H111" s="3">
        <v>61</v>
      </c>
      <c r="I111" s="51"/>
      <c r="J111" s="11"/>
      <c r="Q111" s="162"/>
      <c r="R111" s="162"/>
      <c r="S111" s="162"/>
      <c r="T111" s="162"/>
      <c r="X111" s="10">
        <f t="shared" si="7"/>
        <v>273.4742736331507</v>
      </c>
      <c r="Y111" s="10">
        <f t="shared" si="8"/>
        <v>453.272893375223</v>
      </c>
      <c r="Z111" s="10">
        <f t="shared" si="9"/>
        <v>273.4742736331507</v>
      </c>
      <c r="AA111" s="10">
        <f t="shared" si="10"/>
        <v>453.272893375223</v>
      </c>
    </row>
    <row r="112" spans="1:27" ht="12.75">
      <c r="A112" s="201"/>
      <c r="B112" s="211"/>
      <c r="C112" s="211"/>
      <c r="D112" s="211"/>
      <c r="E112" s="228"/>
      <c r="F112" s="3">
        <v>10.9688</v>
      </c>
      <c r="G112" s="8">
        <f t="shared" si="12"/>
        <v>1241.4978000000003</v>
      </c>
      <c r="H112" s="3">
        <v>62</v>
      </c>
      <c r="I112" s="51"/>
      <c r="J112" s="11"/>
      <c r="Q112" s="162"/>
      <c r="R112" s="162"/>
      <c r="S112" s="162"/>
      <c r="T112" s="162"/>
      <c r="X112" s="10">
        <f t="shared" si="7"/>
        <v>273.4742736331507</v>
      </c>
      <c r="Y112" s="10">
        <f t="shared" si="8"/>
        <v>453.272893375223</v>
      </c>
      <c r="Z112" s="10">
        <f t="shared" si="9"/>
        <v>273.4742736331507</v>
      </c>
      <c r="AA112" s="10">
        <f t="shared" si="10"/>
        <v>453.272893375223</v>
      </c>
    </row>
    <row r="113" spans="1:27" ht="12.75">
      <c r="A113" s="201"/>
      <c r="B113" s="211"/>
      <c r="C113" s="211"/>
      <c r="D113" s="211"/>
      <c r="E113" s="228"/>
      <c r="F113" s="3">
        <v>11.0592</v>
      </c>
      <c r="G113" s="8">
        <f t="shared" si="12"/>
        <v>1252.5570000000002</v>
      </c>
      <c r="H113" s="3">
        <v>63</v>
      </c>
      <c r="I113" s="51"/>
      <c r="J113" s="11"/>
      <c r="Q113" s="162"/>
      <c r="R113" s="162"/>
      <c r="S113" s="162"/>
      <c r="T113" s="162"/>
      <c r="X113" s="10">
        <f t="shared" si="7"/>
        <v>273.4742736331507</v>
      </c>
      <c r="Y113" s="10">
        <f t="shared" si="8"/>
        <v>453.272893375223</v>
      </c>
      <c r="Z113" s="10">
        <f t="shared" si="9"/>
        <v>273.4742736331507</v>
      </c>
      <c r="AA113" s="10">
        <f t="shared" si="10"/>
        <v>453.272893375223</v>
      </c>
    </row>
    <row r="114" spans="1:27" ht="12.75">
      <c r="A114" s="201"/>
      <c r="B114" s="211"/>
      <c r="C114" s="211"/>
      <c r="D114" s="211"/>
      <c r="E114" s="228"/>
      <c r="F114" s="3">
        <v>11.1468</v>
      </c>
      <c r="G114" s="8">
        <f t="shared" si="12"/>
        <v>1263.7038000000002</v>
      </c>
      <c r="H114" s="3">
        <v>64</v>
      </c>
      <c r="I114" s="51"/>
      <c r="J114" s="11"/>
      <c r="Q114" s="162"/>
      <c r="R114" s="162"/>
      <c r="S114" s="162"/>
      <c r="T114" s="162"/>
      <c r="X114" s="10">
        <f t="shared" si="7"/>
        <v>273.4742736331507</v>
      </c>
      <c r="Y114" s="10">
        <f t="shared" si="8"/>
        <v>453.272893375223</v>
      </c>
      <c r="Z114" s="10">
        <f t="shared" si="9"/>
        <v>273.4742736331507</v>
      </c>
      <c r="AA114" s="10">
        <f t="shared" si="10"/>
        <v>453.272893375223</v>
      </c>
    </row>
    <row r="115" spans="1:27" ht="12.75">
      <c r="A115" s="201"/>
      <c r="B115" s="211"/>
      <c r="C115" s="211"/>
      <c r="D115" s="211"/>
      <c r="E115" s="228"/>
      <c r="F115" s="3">
        <v>11.2298</v>
      </c>
      <c r="G115" s="8">
        <f t="shared" si="12"/>
        <v>1274.9336000000003</v>
      </c>
      <c r="H115" s="3">
        <v>65</v>
      </c>
      <c r="I115" s="51"/>
      <c r="J115" s="11"/>
      <c r="Q115" s="162"/>
      <c r="R115" s="162"/>
      <c r="S115" s="162"/>
      <c r="T115" s="162"/>
      <c r="X115" s="10">
        <f t="shared" si="7"/>
        <v>273.4742736331507</v>
      </c>
      <c r="Y115" s="10">
        <f t="shared" si="8"/>
        <v>453.272893375223</v>
      </c>
      <c r="Z115" s="10">
        <f t="shared" si="9"/>
        <v>273.4742736331507</v>
      </c>
      <c r="AA115" s="10">
        <f t="shared" si="10"/>
        <v>453.272893375223</v>
      </c>
    </row>
    <row r="116" spans="1:27" ht="12.75">
      <c r="A116" s="202"/>
      <c r="B116" s="211"/>
      <c r="C116" s="211"/>
      <c r="D116" s="211"/>
      <c r="E116" s="228"/>
      <c r="F116" s="3">
        <v>11.3116</v>
      </c>
      <c r="G116" s="8">
        <f t="shared" si="12"/>
        <v>1286.2452000000003</v>
      </c>
      <c r="H116" s="3">
        <v>66</v>
      </c>
      <c r="I116" s="50">
        <v>4.1728</v>
      </c>
      <c r="J116" s="11"/>
      <c r="Q116" s="162"/>
      <c r="R116" s="162"/>
      <c r="S116" s="162"/>
      <c r="T116" s="162"/>
      <c r="X116" s="10">
        <f t="shared" si="7"/>
        <v>273.4742736331507</v>
      </c>
      <c r="Y116" s="10">
        <f t="shared" si="8"/>
        <v>453.272893375223</v>
      </c>
      <c r="Z116" s="10">
        <f t="shared" si="9"/>
        <v>273.4742736331507</v>
      </c>
      <c r="AA116" s="10">
        <f t="shared" si="10"/>
        <v>453.272893375223</v>
      </c>
    </row>
    <row r="117" spans="1:27" ht="12.75">
      <c r="A117" s="47" t="s">
        <v>63</v>
      </c>
      <c r="B117" s="12">
        <f>C102</f>
        <v>1289.0316000000003</v>
      </c>
      <c r="C117" s="12">
        <f>B121</f>
        <v>1328.4437000000003</v>
      </c>
      <c r="D117" s="12">
        <v>63</v>
      </c>
      <c r="E117" s="83" t="s">
        <v>115</v>
      </c>
      <c r="F117" s="18"/>
      <c r="G117" s="8"/>
      <c r="H117" s="3"/>
      <c r="I117" s="65"/>
      <c r="J117" s="11"/>
      <c r="N117" s="1">
        <f>($S$291-(B117+C117)/2)/100</f>
        <v>18.9501268</v>
      </c>
      <c r="O117" s="1"/>
      <c r="P117" s="1"/>
      <c r="Q117" s="162">
        <f>B117</f>
        <v>1289.0316000000003</v>
      </c>
      <c r="R117" s="162">
        <v>0</v>
      </c>
      <c r="S117" s="162">
        <f>C117</f>
        <v>1328.4437000000003</v>
      </c>
      <c r="T117" s="162">
        <v>0</v>
      </c>
      <c r="X117" s="10">
        <f t="shared" si="7"/>
        <v>285.3833727516673</v>
      </c>
      <c r="Y117" s="10">
        <f t="shared" si="8"/>
        <v>448.33998300048444</v>
      </c>
      <c r="Z117" s="10">
        <f t="shared" si="9"/>
        <v>285.7474930768547</v>
      </c>
      <c r="AA117" s="10">
        <f t="shared" si="10"/>
        <v>448.1891594233276</v>
      </c>
    </row>
    <row r="118" spans="1:27" ht="12.75">
      <c r="A118" s="49" t="s">
        <v>31</v>
      </c>
      <c r="B118" s="12">
        <f>G116+12.13-0.5*$M$3</f>
        <v>1298.1252000000004</v>
      </c>
      <c r="C118" s="12">
        <f>B118+$L$3</f>
        <v>1303.2252000000003</v>
      </c>
      <c r="D118" s="25">
        <v>18</v>
      </c>
      <c r="E118" s="81" t="s">
        <v>116</v>
      </c>
      <c r="F118" s="7"/>
      <c r="G118" s="8"/>
      <c r="H118" s="3"/>
      <c r="I118" s="51"/>
      <c r="J118" s="11"/>
      <c r="Q118" s="162">
        <f>B118</f>
        <v>1298.1252000000004</v>
      </c>
      <c r="R118" s="162">
        <v>0</v>
      </c>
      <c r="S118" s="162">
        <f>C118</f>
        <v>1303.2252000000003</v>
      </c>
      <c r="T118" s="162">
        <v>0</v>
      </c>
      <c r="X118" s="10">
        <f t="shared" si="7"/>
        <v>285.46738666082524</v>
      </c>
      <c r="Y118" s="10">
        <f t="shared" si="8"/>
        <v>448.3051832998536</v>
      </c>
      <c r="Z118" s="10">
        <f t="shared" si="9"/>
        <v>285.51450451697747</v>
      </c>
      <c r="AA118" s="10">
        <f t="shared" si="10"/>
        <v>448.2856664447888</v>
      </c>
    </row>
    <row r="119" spans="1:27" ht="12.75">
      <c r="A119" s="49" t="s">
        <v>32</v>
      </c>
      <c r="B119" s="31">
        <f>C118+1.8-0.5*($M$3+$M$10)</f>
        <v>1304.5252000000003</v>
      </c>
      <c r="C119" s="31">
        <f>B119+$L$10</f>
        <v>1313.4252000000004</v>
      </c>
      <c r="D119" s="31">
        <v>18</v>
      </c>
      <c r="E119" s="81" t="s">
        <v>117</v>
      </c>
      <c r="F119" s="7"/>
      <c r="G119" s="8"/>
      <c r="H119" s="3"/>
      <c r="I119" s="51"/>
      <c r="J119" s="11"/>
      <c r="O119" s="1">
        <f>($S$291-(B119+C119)/2)/100</f>
        <v>18.9477513</v>
      </c>
      <c r="Q119" s="162">
        <f>B119</f>
        <v>1304.5252000000003</v>
      </c>
      <c r="R119" s="162">
        <v>0</v>
      </c>
      <c r="S119" s="162">
        <f>C119</f>
        <v>1313.4252000000004</v>
      </c>
      <c r="T119" s="162">
        <v>0</v>
      </c>
      <c r="X119" s="10">
        <f t="shared" si="7"/>
        <v>285.5265149508986</v>
      </c>
      <c r="Y119" s="10">
        <f t="shared" si="8"/>
        <v>448.2806915601644</v>
      </c>
      <c r="Z119" s="10">
        <f t="shared" si="9"/>
        <v>285.6087402292818</v>
      </c>
      <c r="AA119" s="10">
        <f t="shared" si="10"/>
        <v>448.24663273465916</v>
      </c>
    </row>
    <row r="120" spans="1:27" ht="12.75">
      <c r="A120" s="49" t="s">
        <v>31</v>
      </c>
      <c r="B120" s="31">
        <f>C119+1.8-0.5*($M$3+$M$10)</f>
        <v>1314.7252000000003</v>
      </c>
      <c r="C120" s="31">
        <f>B120+$L$3</f>
        <v>1319.8252000000002</v>
      </c>
      <c r="D120" s="31">
        <v>18</v>
      </c>
      <c r="E120" s="81" t="s">
        <v>118</v>
      </c>
      <c r="F120" s="7"/>
      <c r="G120" s="8"/>
      <c r="H120" s="3"/>
      <c r="I120" s="51"/>
      <c r="J120" s="11"/>
      <c r="P120" s="1"/>
      <c r="Q120" s="162">
        <f>B120</f>
        <v>1314.7252000000003</v>
      </c>
      <c r="R120" s="162">
        <v>0</v>
      </c>
      <c r="S120" s="162">
        <f>C120</f>
        <v>1319.8252000000002</v>
      </c>
      <c r="T120" s="162">
        <v>0</v>
      </c>
      <c r="X120" s="10">
        <f t="shared" si="7"/>
        <v>285.62075066320295</v>
      </c>
      <c r="Y120" s="10">
        <f t="shared" si="8"/>
        <v>448.2416578500348</v>
      </c>
      <c r="Z120" s="10">
        <f t="shared" si="9"/>
        <v>285.6678685193552</v>
      </c>
      <c r="AA120" s="10">
        <f t="shared" si="10"/>
        <v>448.22214099496995</v>
      </c>
    </row>
    <row r="121" spans="1:27" ht="12.75">
      <c r="A121" s="201" t="s">
        <v>11</v>
      </c>
      <c r="B121" s="210">
        <f>G121-I121/2-$L$15</f>
        <v>1328.4437000000003</v>
      </c>
      <c r="C121" s="210">
        <f>G137+I137/2+$L$15</f>
        <v>1529.195150000001</v>
      </c>
      <c r="D121" s="210">
        <v>49</v>
      </c>
      <c r="E121" s="208" t="s">
        <v>115</v>
      </c>
      <c r="F121" s="3">
        <v>45.46</v>
      </c>
      <c r="G121" s="8">
        <f>G116+F121</f>
        <v>1331.7052000000003</v>
      </c>
      <c r="H121" s="3">
        <v>67</v>
      </c>
      <c r="I121" s="50">
        <v>5.123</v>
      </c>
      <c r="J121" s="11"/>
      <c r="Q121" s="162">
        <f>B121</f>
        <v>1328.4437000000003</v>
      </c>
      <c r="R121" s="162">
        <v>0</v>
      </c>
      <c r="S121" s="162">
        <f>C121</f>
        <v>1529.195150000001</v>
      </c>
      <c r="T121" s="162">
        <v>0</v>
      </c>
      <c r="X121" s="10">
        <f t="shared" si="7"/>
        <v>285.7474930768547</v>
      </c>
      <c r="Y121" s="10">
        <f t="shared" si="8"/>
        <v>448.1891594233276</v>
      </c>
      <c r="Z121" s="10">
        <f t="shared" si="9"/>
        <v>287.6021946343929</v>
      </c>
      <c r="AA121" s="10">
        <f t="shared" si="10"/>
        <v>447.42091688338616</v>
      </c>
    </row>
    <row r="122" spans="1:27" ht="12.75">
      <c r="A122" s="201"/>
      <c r="B122" s="211"/>
      <c r="C122" s="211"/>
      <c r="D122" s="211"/>
      <c r="E122" s="228"/>
      <c r="F122" s="3">
        <v>11.5414</v>
      </c>
      <c r="G122" s="8">
        <f>G121+F122</f>
        <v>1343.2466000000004</v>
      </c>
      <c r="H122" s="3">
        <v>68</v>
      </c>
      <c r="I122" s="51"/>
      <c r="J122" s="11"/>
      <c r="Q122" s="162"/>
      <c r="R122" s="162"/>
      <c r="S122" s="162"/>
      <c r="T122" s="162"/>
      <c r="X122" s="10">
        <f t="shared" si="7"/>
        <v>273.4742736331507</v>
      </c>
      <c r="Y122" s="10">
        <f t="shared" si="8"/>
        <v>453.272893375223</v>
      </c>
      <c r="Z122" s="10">
        <f t="shared" si="9"/>
        <v>273.4742736331507</v>
      </c>
      <c r="AA122" s="10">
        <f t="shared" si="10"/>
        <v>453.272893375223</v>
      </c>
    </row>
    <row r="123" spans="1:27" ht="12.75">
      <c r="A123" s="201"/>
      <c r="B123" s="211"/>
      <c r="C123" s="211"/>
      <c r="D123" s="211"/>
      <c r="E123" s="228"/>
      <c r="F123" s="3">
        <v>11.5996</v>
      </c>
      <c r="G123" s="8">
        <f aca="true" t="shared" si="13" ref="G123:G137">G122+F123</f>
        <v>1354.8462000000004</v>
      </c>
      <c r="H123" s="3">
        <v>69</v>
      </c>
      <c r="I123" s="51"/>
      <c r="J123" s="11"/>
      <c r="Q123" s="162"/>
      <c r="R123" s="162"/>
      <c r="S123" s="162"/>
      <c r="T123" s="162"/>
      <c r="X123" s="10">
        <f t="shared" si="7"/>
        <v>273.4742736331507</v>
      </c>
      <c r="Y123" s="10">
        <f t="shared" si="8"/>
        <v>453.272893375223</v>
      </c>
      <c r="Z123" s="10">
        <f t="shared" si="9"/>
        <v>273.4742736331507</v>
      </c>
      <c r="AA123" s="10">
        <f t="shared" si="10"/>
        <v>453.272893375223</v>
      </c>
    </row>
    <row r="124" spans="1:27" ht="12.75">
      <c r="A124" s="201"/>
      <c r="B124" s="211"/>
      <c r="C124" s="211"/>
      <c r="D124" s="211"/>
      <c r="E124" s="228"/>
      <c r="F124" s="3">
        <v>13.9</v>
      </c>
      <c r="G124" s="8">
        <f t="shared" si="13"/>
        <v>1368.7462000000005</v>
      </c>
      <c r="H124" s="3">
        <v>70</v>
      </c>
      <c r="I124" s="51"/>
      <c r="J124" s="11"/>
      <c r="Q124" s="162"/>
      <c r="R124" s="162"/>
      <c r="S124" s="162"/>
      <c r="T124" s="162"/>
      <c r="X124" s="10">
        <f t="shared" si="7"/>
        <v>273.4742736331507</v>
      </c>
      <c r="Y124" s="10">
        <f t="shared" si="8"/>
        <v>453.272893375223</v>
      </c>
      <c r="Z124" s="10">
        <f t="shared" si="9"/>
        <v>273.4742736331507</v>
      </c>
      <c r="AA124" s="10">
        <f t="shared" si="10"/>
        <v>453.272893375223</v>
      </c>
    </row>
    <row r="125" spans="1:27" ht="12.75">
      <c r="A125" s="201"/>
      <c r="B125" s="211"/>
      <c r="C125" s="211"/>
      <c r="D125" s="211"/>
      <c r="E125" s="228"/>
      <c r="F125" s="3">
        <v>11.6185</v>
      </c>
      <c r="G125" s="8">
        <f t="shared" si="13"/>
        <v>1380.3647000000005</v>
      </c>
      <c r="H125" s="3">
        <v>71</v>
      </c>
      <c r="I125" s="51"/>
      <c r="J125" s="11"/>
      <c r="Q125" s="162"/>
      <c r="R125" s="162"/>
      <c r="S125" s="162"/>
      <c r="T125" s="162"/>
      <c r="X125" s="10">
        <f t="shared" si="7"/>
        <v>273.4742736331507</v>
      </c>
      <c r="Y125" s="10">
        <f t="shared" si="8"/>
        <v>453.272893375223</v>
      </c>
      <c r="Z125" s="10">
        <f t="shared" si="9"/>
        <v>273.4742736331507</v>
      </c>
      <c r="AA125" s="10">
        <f t="shared" si="10"/>
        <v>453.272893375223</v>
      </c>
    </row>
    <row r="126" spans="1:27" ht="12.75">
      <c r="A126" s="201"/>
      <c r="B126" s="211"/>
      <c r="C126" s="211"/>
      <c r="D126" s="211"/>
      <c r="E126" s="228"/>
      <c r="F126" s="3">
        <v>11.7012</v>
      </c>
      <c r="G126" s="8">
        <f t="shared" si="13"/>
        <v>1392.0659000000005</v>
      </c>
      <c r="H126" s="3">
        <v>72</v>
      </c>
      <c r="I126" s="51"/>
      <c r="J126" s="11"/>
      <c r="Q126" s="162"/>
      <c r="R126" s="162"/>
      <c r="S126" s="162"/>
      <c r="T126" s="162"/>
      <c r="X126" s="10">
        <f t="shared" si="7"/>
        <v>273.4742736331507</v>
      </c>
      <c r="Y126" s="10">
        <f t="shared" si="8"/>
        <v>453.272893375223</v>
      </c>
      <c r="Z126" s="10">
        <f t="shared" si="9"/>
        <v>273.4742736331507</v>
      </c>
      <c r="AA126" s="10">
        <f t="shared" si="10"/>
        <v>453.272893375223</v>
      </c>
    </row>
    <row r="127" spans="1:27" ht="12.75">
      <c r="A127" s="201"/>
      <c r="B127" s="211"/>
      <c r="C127" s="211"/>
      <c r="D127" s="211"/>
      <c r="E127" s="228"/>
      <c r="F127" s="3">
        <v>11.7841</v>
      </c>
      <c r="G127" s="8">
        <f t="shared" si="13"/>
        <v>1403.8500000000006</v>
      </c>
      <c r="H127" s="3">
        <v>73</v>
      </c>
      <c r="I127" s="51"/>
      <c r="J127" s="11"/>
      <c r="Q127" s="162"/>
      <c r="R127" s="162"/>
      <c r="S127" s="162"/>
      <c r="T127" s="162"/>
      <c r="X127" s="10">
        <f t="shared" si="7"/>
        <v>273.4742736331507</v>
      </c>
      <c r="Y127" s="10">
        <f t="shared" si="8"/>
        <v>453.272893375223</v>
      </c>
      <c r="Z127" s="10">
        <f t="shared" si="9"/>
        <v>273.4742736331507</v>
      </c>
      <c r="AA127" s="10">
        <f t="shared" si="10"/>
        <v>453.272893375223</v>
      </c>
    </row>
    <row r="128" spans="1:27" ht="12.75">
      <c r="A128" s="201"/>
      <c r="B128" s="211"/>
      <c r="C128" s="211"/>
      <c r="D128" s="211"/>
      <c r="E128" s="228"/>
      <c r="F128" s="3">
        <v>11.867</v>
      </c>
      <c r="G128" s="8">
        <f t="shared" si="13"/>
        <v>1415.7170000000006</v>
      </c>
      <c r="H128" s="3">
        <v>74</v>
      </c>
      <c r="I128" s="51"/>
      <c r="J128" s="11"/>
      <c r="Q128" s="162"/>
      <c r="R128" s="162"/>
      <c r="S128" s="162"/>
      <c r="T128" s="162"/>
      <c r="X128" s="10">
        <f t="shared" si="7"/>
        <v>273.4742736331507</v>
      </c>
      <c r="Y128" s="10">
        <f t="shared" si="8"/>
        <v>453.272893375223</v>
      </c>
      <c r="Z128" s="10">
        <f t="shared" si="9"/>
        <v>273.4742736331507</v>
      </c>
      <c r="AA128" s="10">
        <f t="shared" si="10"/>
        <v>453.272893375223</v>
      </c>
    </row>
    <row r="129" spans="1:27" ht="12.75">
      <c r="A129" s="201"/>
      <c r="B129" s="211"/>
      <c r="C129" s="211"/>
      <c r="D129" s="211"/>
      <c r="E129" s="228"/>
      <c r="F129" s="3">
        <v>11.9492</v>
      </c>
      <c r="G129" s="8">
        <f t="shared" si="13"/>
        <v>1427.6662000000006</v>
      </c>
      <c r="H129" s="3">
        <v>75</v>
      </c>
      <c r="I129" s="51"/>
      <c r="J129" s="11"/>
      <c r="Q129" s="162"/>
      <c r="R129" s="162"/>
      <c r="S129" s="162"/>
      <c r="T129" s="162"/>
      <c r="X129" s="10">
        <f t="shared" si="7"/>
        <v>273.4742736331507</v>
      </c>
      <c r="Y129" s="10">
        <f t="shared" si="8"/>
        <v>453.272893375223</v>
      </c>
      <c r="Z129" s="10">
        <f t="shared" si="9"/>
        <v>273.4742736331507</v>
      </c>
      <c r="AA129" s="10">
        <f t="shared" si="10"/>
        <v>453.272893375223</v>
      </c>
    </row>
    <row r="130" spans="1:27" ht="12.75">
      <c r="A130" s="201"/>
      <c r="B130" s="211"/>
      <c r="C130" s="211"/>
      <c r="D130" s="211"/>
      <c r="E130" s="228"/>
      <c r="F130" s="3">
        <v>12.0308</v>
      </c>
      <c r="G130" s="8">
        <f t="shared" si="13"/>
        <v>1439.6970000000006</v>
      </c>
      <c r="H130" s="3">
        <v>76</v>
      </c>
      <c r="I130" s="51"/>
      <c r="J130" s="11"/>
      <c r="Q130" s="162"/>
      <c r="R130" s="162"/>
      <c r="S130" s="162"/>
      <c r="T130" s="162"/>
      <c r="X130" s="10">
        <f t="shared" si="7"/>
        <v>273.4742736331507</v>
      </c>
      <c r="Y130" s="10">
        <f t="shared" si="8"/>
        <v>453.272893375223</v>
      </c>
      <c r="Z130" s="10">
        <f t="shared" si="9"/>
        <v>273.4742736331507</v>
      </c>
      <c r="AA130" s="10">
        <f t="shared" si="10"/>
        <v>453.272893375223</v>
      </c>
    </row>
    <row r="131" spans="1:27" ht="12.75">
      <c r="A131" s="201"/>
      <c r="B131" s="211"/>
      <c r="C131" s="211"/>
      <c r="D131" s="211"/>
      <c r="E131" s="228"/>
      <c r="F131" s="3">
        <v>12.1118</v>
      </c>
      <c r="G131" s="8">
        <f t="shared" si="13"/>
        <v>1451.8088000000005</v>
      </c>
      <c r="H131" s="3">
        <v>77</v>
      </c>
      <c r="I131" s="51"/>
      <c r="J131" s="11"/>
      <c r="Q131" s="162"/>
      <c r="R131" s="162"/>
      <c r="S131" s="162"/>
      <c r="T131" s="162"/>
      <c r="X131" s="10">
        <f t="shared" si="7"/>
        <v>273.4742736331507</v>
      </c>
      <c r="Y131" s="10">
        <f t="shared" si="8"/>
        <v>453.272893375223</v>
      </c>
      <c r="Z131" s="10">
        <f t="shared" si="9"/>
        <v>273.4742736331507</v>
      </c>
      <c r="AA131" s="10">
        <f t="shared" si="10"/>
        <v>453.272893375223</v>
      </c>
    </row>
    <row r="132" spans="1:27" ht="12.75">
      <c r="A132" s="201"/>
      <c r="B132" s="211"/>
      <c r="C132" s="211"/>
      <c r="D132" s="211"/>
      <c r="E132" s="228"/>
      <c r="F132" s="3">
        <v>12.1919</v>
      </c>
      <c r="G132" s="8">
        <f t="shared" si="13"/>
        <v>1464.0007000000005</v>
      </c>
      <c r="H132" s="3">
        <v>78</v>
      </c>
      <c r="I132" s="51"/>
      <c r="J132" s="11"/>
      <c r="Q132" s="162"/>
      <c r="R132" s="162"/>
      <c r="S132" s="162"/>
      <c r="T132" s="162"/>
      <c r="X132" s="10">
        <f t="shared" si="7"/>
        <v>273.4742736331507</v>
      </c>
      <c r="Y132" s="10">
        <f t="shared" si="8"/>
        <v>453.272893375223</v>
      </c>
      <c r="Z132" s="10">
        <f t="shared" si="9"/>
        <v>273.4742736331507</v>
      </c>
      <c r="AA132" s="10">
        <f t="shared" si="10"/>
        <v>453.272893375223</v>
      </c>
    </row>
    <row r="133" spans="1:27" ht="12.75">
      <c r="A133" s="201"/>
      <c r="B133" s="211"/>
      <c r="C133" s="211"/>
      <c r="D133" s="211"/>
      <c r="E133" s="228"/>
      <c r="F133" s="3">
        <v>12.2699</v>
      </c>
      <c r="G133" s="8">
        <f t="shared" si="13"/>
        <v>1476.2706000000005</v>
      </c>
      <c r="H133" s="3">
        <v>79</v>
      </c>
      <c r="I133" s="51"/>
      <c r="J133" s="11"/>
      <c r="Q133" s="162"/>
      <c r="R133" s="162"/>
      <c r="S133" s="162"/>
      <c r="T133" s="162"/>
      <c r="X133" s="10">
        <f t="shared" si="7"/>
        <v>273.4742736331507</v>
      </c>
      <c r="Y133" s="10">
        <f t="shared" si="8"/>
        <v>453.272893375223</v>
      </c>
      <c r="Z133" s="10">
        <f t="shared" si="9"/>
        <v>273.4742736331507</v>
      </c>
      <c r="AA133" s="10">
        <f t="shared" si="10"/>
        <v>453.272893375223</v>
      </c>
    </row>
    <row r="134" spans="1:27" ht="12.75">
      <c r="A134" s="201"/>
      <c r="B134" s="211"/>
      <c r="C134" s="211"/>
      <c r="D134" s="211"/>
      <c r="E134" s="228"/>
      <c r="F134" s="3">
        <v>12.3457</v>
      </c>
      <c r="G134" s="8">
        <f t="shared" si="13"/>
        <v>1488.6163000000006</v>
      </c>
      <c r="H134" s="3">
        <v>80</v>
      </c>
      <c r="I134" s="51"/>
      <c r="J134" s="11"/>
      <c r="Q134" s="162"/>
      <c r="R134" s="162"/>
      <c r="S134" s="162"/>
      <c r="T134" s="162"/>
      <c r="X134" s="10">
        <f t="shared" si="7"/>
        <v>273.4742736331507</v>
      </c>
      <c r="Y134" s="10">
        <f t="shared" si="8"/>
        <v>453.272893375223</v>
      </c>
      <c r="Z134" s="10">
        <f t="shared" si="9"/>
        <v>273.4742736331507</v>
      </c>
      <c r="AA134" s="10">
        <f t="shared" si="10"/>
        <v>453.272893375223</v>
      </c>
    </row>
    <row r="135" spans="1:27" ht="12.75">
      <c r="A135" s="201"/>
      <c r="B135" s="211"/>
      <c r="C135" s="211"/>
      <c r="D135" s="211"/>
      <c r="E135" s="228"/>
      <c r="F135" s="3">
        <v>12.4191</v>
      </c>
      <c r="G135" s="8">
        <f t="shared" si="13"/>
        <v>1501.0354000000007</v>
      </c>
      <c r="H135" s="3">
        <v>81</v>
      </c>
      <c r="I135" s="51"/>
      <c r="J135" s="11"/>
      <c r="Q135" s="162"/>
      <c r="R135" s="162"/>
      <c r="S135" s="162"/>
      <c r="T135" s="162"/>
      <c r="X135" s="10">
        <f t="shared" si="7"/>
        <v>273.4742736331507</v>
      </c>
      <c r="Y135" s="10">
        <f t="shared" si="8"/>
        <v>453.272893375223</v>
      </c>
      <c r="Z135" s="10">
        <f t="shared" si="9"/>
        <v>273.4742736331507</v>
      </c>
      <c r="AA135" s="10">
        <f t="shared" si="10"/>
        <v>453.272893375223</v>
      </c>
    </row>
    <row r="136" spans="1:27" ht="12.75">
      <c r="A136" s="201"/>
      <c r="B136" s="211"/>
      <c r="C136" s="211"/>
      <c r="D136" s="211"/>
      <c r="E136" s="228"/>
      <c r="F136" s="3">
        <v>12.4889</v>
      </c>
      <c r="G136" s="8">
        <f t="shared" si="13"/>
        <v>1513.5243000000007</v>
      </c>
      <c r="H136" s="3">
        <v>82</v>
      </c>
      <c r="I136" s="51"/>
      <c r="J136" s="11"/>
      <c r="Q136" s="162"/>
      <c r="R136" s="162"/>
      <c r="S136" s="162"/>
      <c r="T136" s="162"/>
      <c r="X136" s="10">
        <f t="shared" si="7"/>
        <v>273.4742736331507</v>
      </c>
      <c r="Y136" s="10">
        <f t="shared" si="8"/>
        <v>453.272893375223</v>
      </c>
      <c r="Z136" s="10">
        <f t="shared" si="9"/>
        <v>273.4742736331507</v>
      </c>
      <c r="AA136" s="10">
        <f t="shared" si="10"/>
        <v>453.272893375223</v>
      </c>
    </row>
    <row r="137" spans="1:27" ht="12.75">
      <c r="A137" s="201"/>
      <c r="B137" s="212"/>
      <c r="C137" s="212"/>
      <c r="D137" s="212"/>
      <c r="E137" s="209"/>
      <c r="F137" s="3">
        <v>12.5567</v>
      </c>
      <c r="G137" s="8">
        <f t="shared" si="13"/>
        <v>1526.0810000000008</v>
      </c>
      <c r="H137" s="3">
        <v>83</v>
      </c>
      <c r="I137" s="50">
        <v>4.8283</v>
      </c>
      <c r="J137" s="11"/>
      <c r="Q137" s="162"/>
      <c r="R137" s="162"/>
      <c r="S137" s="162"/>
      <c r="T137" s="162"/>
      <c r="X137" s="10">
        <f aca="true" t="shared" si="14" ref="X137:X200">$X$302+0.01*Q137*COS($Y$307)+0.01*R137*SIN($Y$307)</f>
        <v>273.4742736331507</v>
      </c>
      <c r="Y137" s="10">
        <f aca="true" t="shared" si="15" ref="Y137:Y200">$Y$302-0.01*Q137*SIN($Y$307)+0.01*R137*COS($Y$307)</f>
        <v>453.272893375223</v>
      </c>
      <c r="Z137" s="10">
        <f aca="true" t="shared" si="16" ref="Z137:Z200">$X$302+0.01*S137*COS($Y$307)+0.01*T137*SIN($Y$307)</f>
        <v>273.4742736331507</v>
      </c>
      <c r="AA137" s="10">
        <f aca="true" t="shared" si="17" ref="AA137:AA200">$Y$302-0.01*S137*SIN($Y$307)+0.01*T137*COS($Y$307)</f>
        <v>453.272893375223</v>
      </c>
    </row>
    <row r="138" spans="1:27" ht="12.75">
      <c r="A138" s="48" t="s">
        <v>31</v>
      </c>
      <c r="B138" s="12">
        <f>G137+8-0.5*$M$3</f>
        <v>1533.8310000000008</v>
      </c>
      <c r="C138" s="12">
        <f>B138+$L$3</f>
        <v>1538.9310000000007</v>
      </c>
      <c r="D138" s="25">
        <v>18</v>
      </c>
      <c r="E138" s="81" t="s">
        <v>119</v>
      </c>
      <c r="F138" s="7"/>
      <c r="G138" s="8"/>
      <c r="H138" s="3"/>
      <c r="I138" s="51"/>
      <c r="J138" s="11"/>
      <c r="Q138" s="162">
        <f>B138</f>
        <v>1533.8310000000008</v>
      </c>
      <c r="R138" s="162">
        <v>0</v>
      </c>
      <c r="S138" s="162">
        <f>C138</f>
        <v>1538.9310000000007</v>
      </c>
      <c r="T138" s="162">
        <v>0</v>
      </c>
      <c r="X138" s="10">
        <f t="shared" si="14"/>
        <v>287.6450243036955</v>
      </c>
      <c r="Y138" s="10">
        <f t="shared" si="15"/>
        <v>447.40317625347393</v>
      </c>
      <c r="Z138" s="10">
        <f t="shared" si="16"/>
        <v>287.69214215984766</v>
      </c>
      <c r="AA138" s="10">
        <f t="shared" si="17"/>
        <v>447.3836593984091</v>
      </c>
    </row>
    <row r="139" spans="1:27" ht="12.75">
      <c r="A139" s="48" t="s">
        <v>32</v>
      </c>
      <c r="B139" s="31">
        <f>C138+1.8-0.5*($M$3+$M$10)</f>
        <v>1540.2310000000007</v>
      </c>
      <c r="C139" s="31">
        <f>B139+$L$10</f>
        <v>1549.1310000000008</v>
      </c>
      <c r="D139" s="31">
        <v>18</v>
      </c>
      <c r="E139" s="81" t="s">
        <v>120</v>
      </c>
      <c r="F139" s="7"/>
      <c r="G139" s="8"/>
      <c r="H139" s="3"/>
      <c r="I139" s="51"/>
      <c r="J139" s="11"/>
      <c r="O139" s="1">
        <f>($S$291-(B139+C139)/2)/100</f>
        <v>16.590693299999995</v>
      </c>
      <c r="Q139" s="162">
        <f>B139</f>
        <v>1540.2310000000007</v>
      </c>
      <c r="R139" s="162">
        <v>0</v>
      </c>
      <c r="S139" s="162">
        <f>C139</f>
        <v>1549.1310000000008</v>
      </c>
      <c r="T139" s="162">
        <v>0</v>
      </c>
      <c r="X139" s="10">
        <f t="shared" si="14"/>
        <v>287.7041525937688</v>
      </c>
      <c r="Y139" s="10">
        <f t="shared" si="15"/>
        <v>447.3786845137848</v>
      </c>
      <c r="Z139" s="10">
        <f t="shared" si="16"/>
        <v>287.78637787215206</v>
      </c>
      <c r="AA139" s="10">
        <f t="shared" si="17"/>
        <v>447.3446256882795</v>
      </c>
    </row>
    <row r="140" spans="1:27" ht="12.75">
      <c r="A140" s="48" t="s">
        <v>31</v>
      </c>
      <c r="B140" s="31">
        <f>C139+1.8-0.5*($M$3+$M$10)</f>
        <v>1550.4310000000007</v>
      </c>
      <c r="C140" s="31">
        <f>B140+$L$3</f>
        <v>1555.5310000000006</v>
      </c>
      <c r="D140" s="31">
        <v>18</v>
      </c>
      <c r="E140" s="81" t="s">
        <v>121</v>
      </c>
      <c r="F140" s="7"/>
      <c r="G140" s="8"/>
      <c r="H140" s="3"/>
      <c r="I140" s="51"/>
      <c r="J140" s="11"/>
      <c r="P140" s="1">
        <f>($S$291-C140-250)/100</f>
        <v>13.982193299999997</v>
      </c>
      <c r="Q140" s="162">
        <f>B140</f>
        <v>1550.4310000000007</v>
      </c>
      <c r="R140" s="162">
        <v>0</v>
      </c>
      <c r="S140" s="162">
        <f>C140</f>
        <v>1555.5310000000006</v>
      </c>
      <c r="T140" s="162">
        <v>0</v>
      </c>
      <c r="X140" s="10">
        <f t="shared" si="14"/>
        <v>287.7983883060732</v>
      </c>
      <c r="Y140" s="10">
        <f t="shared" si="15"/>
        <v>447.3396508036551</v>
      </c>
      <c r="Z140" s="10">
        <f t="shared" si="16"/>
        <v>287.84550616222543</v>
      </c>
      <c r="AA140" s="10">
        <f t="shared" si="17"/>
        <v>447.3201339485903</v>
      </c>
    </row>
    <row r="141" spans="1:27" ht="12.75">
      <c r="A141" s="58" t="s">
        <v>30</v>
      </c>
      <c r="B141" s="12">
        <f>C140+1</f>
        <v>1556.5310000000006</v>
      </c>
      <c r="C141" s="12">
        <f>B141+4</f>
        <v>1560.5310000000006</v>
      </c>
      <c r="D141" s="25">
        <v>3</v>
      </c>
      <c r="E141" s="81" t="s">
        <v>122</v>
      </c>
      <c r="F141" s="7"/>
      <c r="G141" s="8"/>
      <c r="H141" s="3"/>
      <c r="I141" s="51"/>
      <c r="J141" s="11"/>
      <c r="Q141" s="162">
        <f>B141</f>
        <v>1556.5310000000006</v>
      </c>
      <c r="R141" s="162">
        <v>0</v>
      </c>
      <c r="S141" s="162">
        <f>C141</f>
        <v>1560.5310000000006</v>
      </c>
      <c r="T141" s="162">
        <v>0</v>
      </c>
      <c r="X141" s="10">
        <f t="shared" si="14"/>
        <v>287.85474495754937</v>
      </c>
      <c r="Y141" s="10">
        <f t="shared" si="15"/>
        <v>447.31630711426385</v>
      </c>
      <c r="Z141" s="10">
        <f t="shared" si="16"/>
        <v>287.89170013884524</v>
      </c>
      <c r="AA141" s="10">
        <f t="shared" si="17"/>
        <v>447.3009997769581</v>
      </c>
    </row>
    <row r="142" spans="1:27" ht="12.75">
      <c r="A142" s="204" t="s">
        <v>29</v>
      </c>
      <c r="B142" s="210">
        <f>C141+2</f>
        <v>1562.5310000000006</v>
      </c>
      <c r="C142" s="210">
        <f>B142+10</f>
        <v>1572.5310000000006</v>
      </c>
      <c r="D142" s="210">
        <v>10</v>
      </c>
      <c r="E142" s="81" t="s">
        <v>123</v>
      </c>
      <c r="F142" s="7"/>
      <c r="G142" s="8"/>
      <c r="H142" s="3"/>
      <c r="I142" s="51"/>
      <c r="Q142" s="162">
        <f>B142</f>
        <v>1562.5310000000006</v>
      </c>
      <c r="R142" s="162">
        <v>0</v>
      </c>
      <c r="S142" s="162">
        <f>C142</f>
        <v>1572.5310000000006</v>
      </c>
      <c r="T142" s="162">
        <v>0</v>
      </c>
      <c r="X142" s="10">
        <f t="shared" si="14"/>
        <v>287.9101777294931</v>
      </c>
      <c r="Y142" s="10">
        <f t="shared" si="15"/>
        <v>447.2933461083053</v>
      </c>
      <c r="Z142" s="10">
        <f t="shared" si="16"/>
        <v>288.0025656827327</v>
      </c>
      <c r="AA142" s="10">
        <f t="shared" si="17"/>
        <v>447.25507776504094</v>
      </c>
    </row>
    <row r="143" spans="1:27" ht="12.75">
      <c r="A143" s="205"/>
      <c r="B143" s="212"/>
      <c r="C143" s="212"/>
      <c r="D143" s="212"/>
      <c r="E143" s="81" t="s">
        <v>124</v>
      </c>
      <c r="F143" s="7"/>
      <c r="G143" s="8"/>
      <c r="H143" s="3"/>
      <c r="I143" s="51"/>
      <c r="J143" s="14"/>
      <c r="Q143" s="162"/>
      <c r="R143" s="162"/>
      <c r="S143" s="162"/>
      <c r="T143" s="162"/>
      <c r="X143" s="10">
        <f t="shared" si="14"/>
        <v>273.4742736331507</v>
      </c>
      <c r="Y143" s="10">
        <f t="shared" si="15"/>
        <v>453.272893375223</v>
      </c>
      <c r="Z143" s="10">
        <f t="shared" si="16"/>
        <v>273.4742736331507</v>
      </c>
      <c r="AA143" s="10">
        <f t="shared" si="17"/>
        <v>453.272893375223</v>
      </c>
    </row>
    <row r="144" spans="1:27" ht="12.75">
      <c r="A144" s="61" t="s">
        <v>58</v>
      </c>
      <c r="B144" s="41">
        <f>C142</f>
        <v>1572.5310000000006</v>
      </c>
      <c r="C144" s="41">
        <f>B144+7.2</f>
        <v>1579.7310000000007</v>
      </c>
      <c r="D144" s="62" t="s">
        <v>62</v>
      </c>
      <c r="E144" s="81" t="s">
        <v>93</v>
      </c>
      <c r="F144" s="7"/>
      <c r="G144" s="8"/>
      <c r="H144" s="3"/>
      <c r="I144" s="51"/>
      <c r="J144" s="14"/>
      <c r="Q144" s="162">
        <f>B144</f>
        <v>1572.5310000000006</v>
      </c>
      <c r="R144" s="162">
        <v>0</v>
      </c>
      <c r="S144" s="162">
        <f>C144</f>
        <v>1579.7310000000007</v>
      </c>
      <c r="T144" s="162">
        <v>0</v>
      </c>
      <c r="X144" s="10">
        <f t="shared" si="14"/>
        <v>288.0025656827327</v>
      </c>
      <c r="Y144" s="10">
        <f t="shared" si="15"/>
        <v>447.25507776504094</v>
      </c>
      <c r="Z144" s="10">
        <f t="shared" si="16"/>
        <v>288.06908500906525</v>
      </c>
      <c r="AA144" s="10">
        <f t="shared" si="17"/>
        <v>447.2275245578906</v>
      </c>
    </row>
    <row r="145" spans="1:27" ht="12.75">
      <c r="A145" s="58" t="s">
        <v>30</v>
      </c>
      <c r="B145" s="41">
        <f>C144+5</f>
        <v>1584.7310000000007</v>
      </c>
      <c r="C145" s="41">
        <f>B145+4</f>
        <v>1588.7310000000007</v>
      </c>
      <c r="D145" s="62"/>
      <c r="E145" s="23" t="s">
        <v>239</v>
      </c>
      <c r="F145" s="7"/>
      <c r="G145" s="8"/>
      <c r="H145" s="3"/>
      <c r="I145" s="51"/>
      <c r="J145" s="14"/>
      <c r="Q145" s="162">
        <f>B145</f>
        <v>1584.7310000000007</v>
      </c>
      <c r="R145" s="162">
        <v>0</v>
      </c>
      <c r="S145" s="162">
        <f>C145</f>
        <v>1588.7310000000007</v>
      </c>
      <c r="T145" s="162">
        <v>0</v>
      </c>
      <c r="X145" s="10">
        <f t="shared" si="14"/>
        <v>288.11527898568505</v>
      </c>
      <c r="Y145" s="10">
        <f t="shared" si="15"/>
        <v>447.20839038625843</v>
      </c>
      <c r="Z145" s="10">
        <f t="shared" si="16"/>
        <v>288.15223416698086</v>
      </c>
      <c r="AA145" s="10">
        <f t="shared" si="17"/>
        <v>447.1930830489527</v>
      </c>
    </row>
    <row r="146" spans="1:27" ht="12.75">
      <c r="A146" s="15" t="s">
        <v>48</v>
      </c>
      <c r="B146" s="41">
        <f>C145+2</f>
        <v>1590.7310000000007</v>
      </c>
      <c r="C146" s="41">
        <f>B146+10</f>
        <v>1600.7310000000007</v>
      </c>
      <c r="D146" s="62"/>
      <c r="E146" s="23" t="s">
        <v>214</v>
      </c>
      <c r="F146" s="7"/>
      <c r="G146" s="8"/>
      <c r="H146" s="3"/>
      <c r="I146" s="51"/>
      <c r="J146" s="14"/>
      <c r="Q146" s="162">
        <f>B146</f>
        <v>1590.7310000000007</v>
      </c>
      <c r="R146" s="162">
        <v>0</v>
      </c>
      <c r="S146" s="162">
        <f>C146</f>
        <v>1600.7310000000007</v>
      </c>
      <c r="T146" s="162">
        <v>0</v>
      </c>
      <c r="X146" s="10">
        <f t="shared" si="14"/>
        <v>288.1707117576288</v>
      </c>
      <c r="Y146" s="10">
        <f t="shared" si="15"/>
        <v>447.1854293802998</v>
      </c>
      <c r="Z146" s="10">
        <f t="shared" si="16"/>
        <v>288.2630997108684</v>
      </c>
      <c r="AA146" s="10">
        <f t="shared" si="17"/>
        <v>447.14716103703546</v>
      </c>
    </row>
    <row r="147" spans="1:27" ht="12.75">
      <c r="A147" s="58" t="s">
        <v>18</v>
      </c>
      <c r="B147" s="210">
        <f>C146</f>
        <v>1600.7310000000007</v>
      </c>
      <c r="C147" s="210">
        <f>B147+40</f>
        <v>1640.7310000000007</v>
      </c>
      <c r="D147" s="210"/>
      <c r="E147" s="23" t="s">
        <v>225</v>
      </c>
      <c r="F147" s="7"/>
      <c r="G147" s="8"/>
      <c r="H147" s="3"/>
      <c r="I147" s="51"/>
      <c r="J147" s="14"/>
      <c r="Q147" s="162">
        <f>B147</f>
        <v>1600.7310000000007</v>
      </c>
      <c r="R147" s="162">
        <v>0</v>
      </c>
      <c r="S147" s="162">
        <f>C147</f>
        <v>1640.7310000000007</v>
      </c>
      <c r="T147" s="162">
        <v>0</v>
      </c>
      <c r="X147" s="10">
        <f t="shared" si="14"/>
        <v>288.2630997108684</v>
      </c>
      <c r="Y147" s="10">
        <f t="shared" si="15"/>
        <v>447.14716103703546</v>
      </c>
      <c r="Z147" s="10">
        <f t="shared" si="16"/>
        <v>288.6326515238268</v>
      </c>
      <c r="AA147" s="10">
        <f t="shared" si="17"/>
        <v>446.9940876639781</v>
      </c>
    </row>
    <row r="148" spans="1:27" ht="12.75">
      <c r="A148" s="221" t="s">
        <v>40</v>
      </c>
      <c r="B148" s="211"/>
      <c r="C148" s="211"/>
      <c r="D148" s="211"/>
      <c r="E148" s="23" t="s">
        <v>226</v>
      </c>
      <c r="F148" s="7"/>
      <c r="G148" s="8"/>
      <c r="H148" s="3"/>
      <c r="I148" s="51"/>
      <c r="J148" s="14"/>
      <c r="Q148" s="162"/>
      <c r="R148" s="162"/>
      <c r="S148" s="162"/>
      <c r="T148" s="162"/>
      <c r="X148" s="10">
        <f t="shared" si="14"/>
        <v>273.4742736331507</v>
      </c>
      <c r="Y148" s="10">
        <f t="shared" si="15"/>
        <v>453.272893375223</v>
      </c>
      <c r="Z148" s="10">
        <f t="shared" si="16"/>
        <v>273.4742736331507</v>
      </c>
      <c r="AA148" s="10">
        <f t="shared" si="17"/>
        <v>453.272893375223</v>
      </c>
    </row>
    <row r="149" spans="1:27" ht="12.75">
      <c r="A149" s="222"/>
      <c r="B149" s="212"/>
      <c r="C149" s="212"/>
      <c r="D149" s="212"/>
      <c r="E149" s="23" t="s">
        <v>227</v>
      </c>
      <c r="F149" s="7"/>
      <c r="G149" s="8"/>
      <c r="H149" s="3"/>
      <c r="I149" s="51"/>
      <c r="J149" s="14"/>
      <c r="Q149" s="162"/>
      <c r="R149" s="162"/>
      <c r="S149" s="162"/>
      <c r="T149" s="162"/>
      <c r="X149" s="10">
        <f t="shared" si="14"/>
        <v>273.4742736331507</v>
      </c>
      <c r="Y149" s="10">
        <f t="shared" si="15"/>
        <v>453.272893375223</v>
      </c>
      <c r="Z149" s="10">
        <f t="shared" si="16"/>
        <v>273.4742736331507</v>
      </c>
      <c r="AA149" s="10">
        <f t="shared" si="17"/>
        <v>453.272893375223</v>
      </c>
    </row>
    <row r="150" spans="1:27" ht="12.75">
      <c r="A150" s="202" t="s">
        <v>5</v>
      </c>
      <c r="B150" s="210">
        <f>G150-I150/2-$L$15</f>
        <v>1644.7908500000008</v>
      </c>
      <c r="C150" s="210">
        <f>G153+I153/2+$L$15</f>
        <v>1689.8760500000008</v>
      </c>
      <c r="D150" s="210">
        <v>50</v>
      </c>
      <c r="E150" s="218" t="s">
        <v>228</v>
      </c>
      <c r="F150" s="3">
        <v>122.2</v>
      </c>
      <c r="G150" s="8">
        <f>G137+F150</f>
        <v>1648.2810000000009</v>
      </c>
      <c r="H150" s="3">
        <v>84</v>
      </c>
      <c r="I150" s="50">
        <v>5.5803</v>
      </c>
      <c r="J150" s="14"/>
      <c r="N150" s="1">
        <f>($S$291-(B150+C150)/2)/100</f>
        <v>15.364168799999995</v>
      </c>
      <c r="O150" s="1"/>
      <c r="P150" s="1"/>
      <c r="Q150" s="162">
        <f>B150</f>
        <v>1644.7908500000008</v>
      </c>
      <c r="R150" s="162">
        <v>0</v>
      </c>
      <c r="S150" s="162">
        <f>C150</f>
        <v>1689.8760500000008</v>
      </c>
      <c r="T150" s="162">
        <v>0</v>
      </c>
      <c r="X150" s="10">
        <f t="shared" si="14"/>
        <v>288.6701596470228</v>
      </c>
      <c r="Y150" s="10">
        <f t="shared" si="15"/>
        <v>446.97855129063794</v>
      </c>
      <c r="Z150" s="10">
        <f t="shared" si="16"/>
        <v>289.08669258196255</v>
      </c>
      <c r="AA150" s="10">
        <f t="shared" si="17"/>
        <v>446.80601769966376</v>
      </c>
    </row>
    <row r="151" spans="1:27" ht="12.75">
      <c r="A151" s="188"/>
      <c r="B151" s="211"/>
      <c r="C151" s="211"/>
      <c r="D151" s="211"/>
      <c r="E151" s="219"/>
      <c r="F151" s="3">
        <v>12.6805</v>
      </c>
      <c r="G151" s="8">
        <f>G150+F151</f>
        <v>1660.9615000000008</v>
      </c>
      <c r="H151" s="3">
        <v>85</v>
      </c>
      <c r="I151" s="51"/>
      <c r="J151" s="14"/>
      <c r="Q151" s="162"/>
      <c r="R151" s="162"/>
      <c r="S151" s="162"/>
      <c r="T151" s="162"/>
      <c r="X151" s="10">
        <f t="shared" si="14"/>
        <v>273.4742736331507</v>
      </c>
      <c r="Y151" s="10">
        <f t="shared" si="15"/>
        <v>453.272893375223</v>
      </c>
      <c r="Z151" s="10">
        <f t="shared" si="16"/>
        <v>273.4742736331507</v>
      </c>
      <c r="AA151" s="10">
        <f t="shared" si="17"/>
        <v>453.272893375223</v>
      </c>
    </row>
    <row r="152" spans="1:27" ht="12.75">
      <c r="A152" s="188"/>
      <c r="B152" s="211"/>
      <c r="C152" s="211"/>
      <c r="D152" s="211"/>
      <c r="E152" s="219"/>
      <c r="F152" s="3">
        <v>12.6805</v>
      </c>
      <c r="G152" s="8">
        <f>G151+F152</f>
        <v>1673.6420000000007</v>
      </c>
      <c r="H152" s="3">
        <v>86</v>
      </c>
      <c r="I152" s="51"/>
      <c r="J152" s="14"/>
      <c r="Q152" s="162"/>
      <c r="R152" s="162"/>
      <c r="S152" s="162"/>
      <c r="T152" s="162"/>
      <c r="X152" s="10">
        <f t="shared" si="14"/>
        <v>273.4742736331507</v>
      </c>
      <c r="Y152" s="10">
        <f t="shared" si="15"/>
        <v>453.272893375223</v>
      </c>
      <c r="Z152" s="10">
        <f t="shared" si="16"/>
        <v>273.4742736331507</v>
      </c>
      <c r="AA152" s="10">
        <f t="shared" si="17"/>
        <v>453.272893375223</v>
      </c>
    </row>
    <row r="153" spans="1:27" ht="12.75">
      <c r="A153" s="189"/>
      <c r="B153" s="212"/>
      <c r="C153" s="212"/>
      <c r="D153" s="212"/>
      <c r="E153" s="220"/>
      <c r="F153" s="3">
        <v>12.6805</v>
      </c>
      <c r="G153" s="8">
        <f>G152+F153</f>
        <v>1686.3225000000007</v>
      </c>
      <c r="H153" s="3">
        <v>87</v>
      </c>
      <c r="I153" s="50">
        <v>5.7071</v>
      </c>
      <c r="J153" s="14"/>
      <c r="Q153" s="162"/>
      <c r="R153" s="162"/>
      <c r="S153" s="162"/>
      <c r="T153" s="162"/>
      <c r="X153" s="10">
        <f t="shared" si="14"/>
        <v>273.4742736331507</v>
      </c>
      <c r="Y153" s="10">
        <f t="shared" si="15"/>
        <v>453.272893375223</v>
      </c>
      <c r="Z153" s="10">
        <f t="shared" si="16"/>
        <v>273.4742736331507</v>
      </c>
      <c r="AA153" s="10">
        <f t="shared" si="17"/>
        <v>453.272893375223</v>
      </c>
    </row>
    <row r="154" spans="1:27" ht="12.75">
      <c r="A154" s="63" t="s">
        <v>48</v>
      </c>
      <c r="B154" s="42">
        <f>C150</f>
        <v>1689.8760500000008</v>
      </c>
      <c r="C154" s="42">
        <f>B154+10</f>
        <v>1699.8760500000008</v>
      </c>
      <c r="D154" s="41"/>
      <c r="E154" s="23" t="s">
        <v>215</v>
      </c>
      <c r="F154" s="18"/>
      <c r="G154" s="8"/>
      <c r="H154" s="3"/>
      <c r="I154" s="65"/>
      <c r="J154" s="14"/>
      <c r="P154" s="1">
        <f>($S$291-C154-250)/100</f>
        <v>12.538742799999996</v>
      </c>
      <c r="Q154" s="162">
        <f>B154</f>
        <v>1689.8760500000008</v>
      </c>
      <c r="R154" s="162">
        <v>0</v>
      </c>
      <c r="S154" s="162">
        <f>C154</f>
        <v>1699.8760500000008</v>
      </c>
      <c r="T154" s="162">
        <v>0</v>
      </c>
      <c r="X154" s="10">
        <f t="shared" si="14"/>
        <v>289.08669258196255</v>
      </c>
      <c r="Y154" s="10">
        <f t="shared" si="15"/>
        <v>446.80601769966376</v>
      </c>
      <c r="Z154" s="10">
        <f t="shared" si="16"/>
        <v>289.17908053520216</v>
      </c>
      <c r="AA154" s="10">
        <f t="shared" si="17"/>
        <v>446.7677493563994</v>
      </c>
    </row>
    <row r="155" spans="1:27" ht="12.75">
      <c r="A155" s="58" t="s">
        <v>18</v>
      </c>
      <c r="B155" s="210">
        <f>C154</f>
        <v>1699.8760500000008</v>
      </c>
      <c r="C155" s="210">
        <f>B155+30</f>
        <v>1729.8760500000008</v>
      </c>
      <c r="D155" s="210">
        <v>20</v>
      </c>
      <c r="E155" s="23" t="s">
        <v>229</v>
      </c>
      <c r="F155" s="7"/>
      <c r="G155" s="8"/>
      <c r="H155" s="3"/>
      <c r="I155" s="51"/>
      <c r="J155" s="14"/>
      <c r="Q155" s="162">
        <f>B155</f>
        <v>1699.8760500000008</v>
      </c>
      <c r="R155" s="162">
        <v>0</v>
      </c>
      <c r="S155" s="162">
        <f>C155</f>
        <v>1729.8760500000008</v>
      </c>
      <c r="T155" s="162">
        <v>0</v>
      </c>
      <c r="X155" s="10">
        <f t="shared" si="14"/>
        <v>289.17908053520216</v>
      </c>
      <c r="Y155" s="10">
        <f t="shared" si="15"/>
        <v>446.7677493563994</v>
      </c>
      <c r="Z155" s="10">
        <f t="shared" si="16"/>
        <v>289.456244394921</v>
      </c>
      <c r="AA155" s="10">
        <f t="shared" si="17"/>
        <v>446.6529443266064</v>
      </c>
    </row>
    <row r="156" spans="1:27" ht="12.75">
      <c r="A156" s="67" t="s">
        <v>16</v>
      </c>
      <c r="B156" s="211"/>
      <c r="C156" s="211"/>
      <c r="D156" s="211"/>
      <c r="E156" s="23" t="s">
        <v>230</v>
      </c>
      <c r="F156" s="7"/>
      <c r="G156" s="8"/>
      <c r="H156" s="3"/>
      <c r="I156" s="51"/>
      <c r="J156" s="14"/>
      <c r="Q156" s="162"/>
      <c r="R156" s="162"/>
      <c r="S156" s="162"/>
      <c r="T156" s="162"/>
      <c r="X156" s="10">
        <f t="shared" si="14"/>
        <v>273.4742736331507</v>
      </c>
      <c r="Y156" s="10">
        <f t="shared" si="15"/>
        <v>453.272893375223</v>
      </c>
      <c r="Z156" s="10">
        <f t="shared" si="16"/>
        <v>273.4742736331507</v>
      </c>
      <c r="AA156" s="10">
        <f t="shared" si="17"/>
        <v>453.272893375223</v>
      </c>
    </row>
    <row r="157" spans="1:27" ht="12.75">
      <c r="A157" s="221" t="s">
        <v>23</v>
      </c>
      <c r="B157" s="211"/>
      <c r="C157" s="211"/>
      <c r="D157" s="211"/>
      <c r="E157" s="84" t="s">
        <v>231</v>
      </c>
      <c r="F157" s="7"/>
      <c r="G157" s="8"/>
      <c r="H157" s="3"/>
      <c r="I157" s="51"/>
      <c r="J157" s="14"/>
      <c r="Q157" s="162"/>
      <c r="R157" s="162"/>
      <c r="S157" s="162"/>
      <c r="T157" s="162"/>
      <c r="X157" s="10">
        <f t="shared" si="14"/>
        <v>273.4742736331507</v>
      </c>
      <c r="Y157" s="10">
        <f t="shared" si="15"/>
        <v>453.272893375223</v>
      </c>
      <c r="Z157" s="10">
        <f t="shared" si="16"/>
        <v>273.4742736331507</v>
      </c>
      <c r="AA157" s="10">
        <f t="shared" si="17"/>
        <v>453.272893375223</v>
      </c>
    </row>
    <row r="158" spans="1:27" ht="12.75">
      <c r="A158" s="185"/>
      <c r="B158" s="212"/>
      <c r="C158" s="212"/>
      <c r="D158" s="212"/>
      <c r="E158" s="84" t="s">
        <v>232</v>
      </c>
      <c r="F158" s="7"/>
      <c r="G158" s="8"/>
      <c r="H158" s="3"/>
      <c r="I158" s="51"/>
      <c r="J158" s="11"/>
      <c r="Q158" s="162"/>
      <c r="R158" s="162"/>
      <c r="S158" s="162"/>
      <c r="T158" s="162"/>
      <c r="X158" s="10">
        <f t="shared" si="14"/>
        <v>273.4742736331507</v>
      </c>
      <c r="Y158" s="10">
        <f t="shared" si="15"/>
        <v>453.272893375223</v>
      </c>
      <c r="Z158" s="10">
        <f t="shared" si="16"/>
        <v>273.4742736331507</v>
      </c>
      <c r="AA158" s="10">
        <f t="shared" si="17"/>
        <v>453.272893375223</v>
      </c>
    </row>
    <row r="159" spans="1:27" ht="12.75">
      <c r="A159" s="2" t="s">
        <v>48</v>
      </c>
      <c r="B159" s="12">
        <f>C155</f>
        <v>1729.8760500000008</v>
      </c>
      <c r="C159" s="12">
        <f>B159+10</f>
        <v>1739.8760500000008</v>
      </c>
      <c r="D159" s="12"/>
      <c r="E159" s="23" t="s">
        <v>216</v>
      </c>
      <c r="F159" s="7"/>
      <c r="G159" s="8"/>
      <c r="H159" s="3"/>
      <c r="I159" s="51"/>
      <c r="J159" s="11"/>
      <c r="Q159" s="162">
        <f>B159</f>
        <v>1729.8760500000008</v>
      </c>
      <c r="R159" s="162">
        <v>0</v>
      </c>
      <c r="S159" s="162">
        <f>C159</f>
        <v>1739.8760500000008</v>
      </c>
      <c r="T159" s="162">
        <v>0</v>
      </c>
      <c r="X159" s="10">
        <f t="shared" si="14"/>
        <v>289.456244394921</v>
      </c>
      <c r="Y159" s="10">
        <f t="shared" si="15"/>
        <v>446.6529443266064</v>
      </c>
      <c r="Z159" s="10">
        <f t="shared" si="16"/>
        <v>289.5486323481606</v>
      </c>
      <c r="AA159" s="10">
        <f t="shared" si="17"/>
        <v>446.61467598334207</v>
      </c>
    </row>
    <row r="160" spans="1:27" ht="12.75">
      <c r="A160" s="64" t="s">
        <v>58</v>
      </c>
      <c r="B160" s="12">
        <f>C159</f>
        <v>1739.8760500000008</v>
      </c>
      <c r="C160" s="12">
        <f>B160+7.2</f>
        <v>1747.0760500000008</v>
      </c>
      <c r="D160" s="12"/>
      <c r="E160" s="23" t="s">
        <v>125</v>
      </c>
      <c r="F160" s="7"/>
      <c r="G160" s="8"/>
      <c r="H160" s="3"/>
      <c r="I160" s="51"/>
      <c r="J160" s="11"/>
      <c r="Q160" s="162">
        <f>B160</f>
        <v>1739.8760500000008</v>
      </c>
      <c r="R160" s="162">
        <v>0</v>
      </c>
      <c r="S160" s="162">
        <f>C160</f>
        <v>1747.0760500000008</v>
      </c>
      <c r="T160" s="162">
        <v>0</v>
      </c>
      <c r="X160" s="10">
        <f t="shared" si="14"/>
        <v>289.5486323481606</v>
      </c>
      <c r="Y160" s="10">
        <f t="shared" si="15"/>
        <v>446.61467598334207</v>
      </c>
      <c r="Z160" s="10">
        <f t="shared" si="16"/>
        <v>289.61515167449306</v>
      </c>
      <c r="AA160" s="10">
        <f t="shared" si="17"/>
        <v>446.58712277619173</v>
      </c>
    </row>
    <row r="161" spans="1:27" ht="12.75">
      <c r="A161" s="58" t="s">
        <v>30</v>
      </c>
      <c r="B161" s="41">
        <f>C160+5</f>
        <v>1752.0760500000008</v>
      </c>
      <c r="C161" s="41">
        <f>B161+4</f>
        <v>1756.0760500000008</v>
      </c>
      <c r="D161" s="41">
        <v>3</v>
      </c>
      <c r="E161" s="81" t="s">
        <v>127</v>
      </c>
      <c r="F161" s="7"/>
      <c r="G161" s="8"/>
      <c r="H161" s="3"/>
      <c r="I161" s="51"/>
      <c r="J161" s="11"/>
      <c r="Q161" s="162">
        <f>B161</f>
        <v>1752.0760500000008</v>
      </c>
      <c r="R161" s="162">
        <v>0</v>
      </c>
      <c r="S161" s="162">
        <f>C161</f>
        <v>1756.0760500000008</v>
      </c>
      <c r="T161" s="162">
        <v>0</v>
      </c>
      <c r="X161" s="10">
        <f t="shared" si="14"/>
        <v>289.66134565111287</v>
      </c>
      <c r="Y161" s="10">
        <f t="shared" si="15"/>
        <v>446.56798860455956</v>
      </c>
      <c r="Z161" s="10">
        <f t="shared" si="16"/>
        <v>289.69830083240873</v>
      </c>
      <c r="AA161" s="10">
        <f t="shared" si="17"/>
        <v>446.55268126725383</v>
      </c>
    </row>
    <row r="162" spans="1:27" ht="12.75">
      <c r="A162" s="204" t="s">
        <v>29</v>
      </c>
      <c r="B162" s="210">
        <f>C161+2</f>
        <v>1758.0760500000008</v>
      </c>
      <c r="C162" s="210">
        <f>B162+10</f>
        <v>1768.0760500000008</v>
      </c>
      <c r="D162" s="210">
        <v>10</v>
      </c>
      <c r="E162" s="81" t="s">
        <v>128</v>
      </c>
      <c r="F162" s="7"/>
      <c r="G162" s="8"/>
      <c r="H162" s="3"/>
      <c r="I162" s="51"/>
      <c r="J162" s="11"/>
      <c r="Q162" s="162">
        <f>B162</f>
        <v>1758.0760500000008</v>
      </c>
      <c r="R162" s="162">
        <v>0</v>
      </c>
      <c r="S162" s="162">
        <f>C162</f>
        <v>1768.0760500000008</v>
      </c>
      <c r="T162" s="162">
        <v>0</v>
      </c>
      <c r="X162" s="10">
        <f t="shared" si="14"/>
        <v>289.71677842305667</v>
      </c>
      <c r="Y162" s="10">
        <f t="shared" si="15"/>
        <v>446.54502759860094</v>
      </c>
      <c r="Z162" s="10">
        <f t="shared" si="16"/>
        <v>289.8091663762963</v>
      </c>
      <c r="AA162" s="10">
        <f t="shared" si="17"/>
        <v>446.5067592553366</v>
      </c>
    </row>
    <row r="163" spans="1:27" ht="12.75">
      <c r="A163" s="205"/>
      <c r="B163" s="212"/>
      <c r="C163" s="212"/>
      <c r="D163" s="212"/>
      <c r="E163" s="81" t="s">
        <v>129</v>
      </c>
      <c r="F163" s="7"/>
      <c r="G163" s="8"/>
      <c r="H163" s="3"/>
      <c r="I163" s="51"/>
      <c r="J163" s="11"/>
      <c r="Q163" s="162"/>
      <c r="R163" s="162"/>
      <c r="S163" s="162"/>
      <c r="T163" s="162"/>
      <c r="X163" s="10">
        <f t="shared" si="14"/>
        <v>273.4742736331507</v>
      </c>
      <c r="Y163" s="10">
        <f t="shared" si="15"/>
        <v>453.272893375223</v>
      </c>
      <c r="Z163" s="10">
        <f t="shared" si="16"/>
        <v>273.4742736331507</v>
      </c>
      <c r="AA163" s="10">
        <f t="shared" si="17"/>
        <v>453.272893375223</v>
      </c>
    </row>
    <row r="164" spans="1:27" ht="12.75">
      <c r="A164" s="58" t="s">
        <v>224</v>
      </c>
      <c r="B164" s="12">
        <f>C162</f>
        <v>1768.0760500000008</v>
      </c>
      <c r="C164" s="12">
        <f>B164+10</f>
        <v>1778.0760500000008</v>
      </c>
      <c r="D164" s="25">
        <v>3.5</v>
      </c>
      <c r="E164" s="81" t="s">
        <v>130</v>
      </c>
      <c r="F164" s="7"/>
      <c r="G164" s="8"/>
      <c r="H164" s="3"/>
      <c r="I164" s="51"/>
      <c r="J164" s="14"/>
      <c r="Q164" s="162">
        <f>B164</f>
        <v>1768.0760500000008</v>
      </c>
      <c r="R164" s="162">
        <v>0</v>
      </c>
      <c r="S164" s="162">
        <f>C164</f>
        <v>1778.0760500000008</v>
      </c>
      <c r="T164" s="162">
        <v>0</v>
      </c>
      <c r="X164" s="10">
        <f t="shared" si="14"/>
        <v>289.8091663762963</v>
      </c>
      <c r="Y164" s="10">
        <f t="shared" si="15"/>
        <v>446.5067592553366</v>
      </c>
      <c r="Z164" s="10">
        <f t="shared" si="16"/>
        <v>289.9015543295358</v>
      </c>
      <c r="AA164" s="10">
        <f t="shared" si="17"/>
        <v>446.46849091207224</v>
      </c>
    </row>
    <row r="165" spans="1:27" ht="12.75">
      <c r="A165" s="49" t="s">
        <v>31</v>
      </c>
      <c r="B165" s="12">
        <f>G153+93-0.5*$M$3</f>
        <v>1779.0725000000007</v>
      </c>
      <c r="C165" s="12">
        <f>B165+$L$3</f>
        <v>1784.1725000000006</v>
      </c>
      <c r="D165" s="25">
        <v>18</v>
      </c>
      <c r="E165" s="81" t="s">
        <v>131</v>
      </c>
      <c r="F165" s="7"/>
      <c r="G165" s="8"/>
      <c r="H165" s="3"/>
      <c r="I165" s="51"/>
      <c r="J165" s="11"/>
      <c r="Q165" s="162">
        <f>B165</f>
        <v>1779.0725000000007</v>
      </c>
      <c r="R165" s="162">
        <v>0</v>
      </c>
      <c r="S165" s="162">
        <f>C165</f>
        <v>1784.1725000000006</v>
      </c>
      <c r="T165" s="162">
        <v>0</v>
      </c>
      <c r="X165" s="10">
        <f t="shared" si="14"/>
        <v>289.9107603271364</v>
      </c>
      <c r="Y165" s="10">
        <f t="shared" si="15"/>
        <v>446.4646776630077</v>
      </c>
      <c r="Z165" s="10">
        <f t="shared" si="16"/>
        <v>289.9578781832886</v>
      </c>
      <c r="AA165" s="10">
        <f t="shared" si="17"/>
        <v>446.4451608079429</v>
      </c>
    </row>
    <row r="166" spans="1:27" ht="12.75">
      <c r="A166" s="49" t="s">
        <v>32</v>
      </c>
      <c r="B166" s="31">
        <f>C165+1.8-0.5*($M$3+$M$10)</f>
        <v>1785.4725000000005</v>
      </c>
      <c r="C166" s="31">
        <f>B166+$L$10</f>
        <v>1794.3725000000006</v>
      </c>
      <c r="D166" s="31">
        <v>18</v>
      </c>
      <c r="E166" s="81" t="s">
        <v>132</v>
      </c>
      <c r="F166" s="7"/>
      <c r="G166" s="8"/>
      <c r="H166" s="3"/>
      <c r="I166" s="51"/>
      <c r="J166" s="11"/>
      <c r="O166" s="1">
        <f>($S$291-(B166+C166)/2)/100</f>
        <v>14.138278299999998</v>
      </c>
      <c r="Q166" s="162">
        <f>B166</f>
        <v>1785.4725000000005</v>
      </c>
      <c r="R166" s="162">
        <v>0</v>
      </c>
      <c r="S166" s="162">
        <f>C166</f>
        <v>1794.3725000000006</v>
      </c>
      <c r="T166" s="162">
        <v>0</v>
      </c>
      <c r="X166" s="10">
        <f t="shared" si="14"/>
        <v>289.96988861720973</v>
      </c>
      <c r="Y166" s="10">
        <f t="shared" si="15"/>
        <v>446.4401859233185</v>
      </c>
      <c r="Z166" s="10">
        <f t="shared" si="16"/>
        <v>290.052113895593</v>
      </c>
      <c r="AA166" s="10">
        <f t="shared" si="17"/>
        <v>446.4061270978132</v>
      </c>
    </row>
    <row r="167" spans="1:27" ht="12.75">
      <c r="A167" s="49" t="s">
        <v>31</v>
      </c>
      <c r="B167" s="31">
        <f>C166+1.8-0.5*($M$3+$M$10)</f>
        <v>1795.6725000000006</v>
      </c>
      <c r="C167" s="31">
        <f>B167+$L$3</f>
        <v>1800.7725000000005</v>
      </c>
      <c r="D167" s="31">
        <v>18</v>
      </c>
      <c r="E167" s="81" t="s">
        <v>133</v>
      </c>
      <c r="F167" s="7"/>
      <c r="G167" s="8"/>
      <c r="H167" s="3"/>
      <c r="I167" s="51"/>
      <c r="J167" s="11"/>
      <c r="Q167" s="162">
        <f>B167</f>
        <v>1795.6725000000006</v>
      </c>
      <c r="R167" s="162">
        <v>0</v>
      </c>
      <c r="S167" s="162">
        <f>C167</f>
        <v>1800.7725000000005</v>
      </c>
      <c r="T167" s="162">
        <v>0</v>
      </c>
      <c r="X167" s="10">
        <f t="shared" si="14"/>
        <v>290.06412432951413</v>
      </c>
      <c r="Y167" s="10">
        <f t="shared" si="15"/>
        <v>446.4011522131889</v>
      </c>
      <c r="Z167" s="10">
        <f t="shared" si="16"/>
        <v>290.11124218566636</v>
      </c>
      <c r="AA167" s="10">
        <f t="shared" si="17"/>
        <v>446.3816353581241</v>
      </c>
    </row>
    <row r="168" spans="1:27" ht="12.75">
      <c r="A168" s="201" t="s">
        <v>12</v>
      </c>
      <c r="B168" s="210">
        <f>G168-I168/2-$L$15</f>
        <v>1804.8355000000006</v>
      </c>
      <c r="C168" s="210">
        <f>G187+I187/2+$L$15</f>
        <v>2068.5675000000006</v>
      </c>
      <c r="D168" s="210">
        <v>52</v>
      </c>
      <c r="E168" s="208" t="s">
        <v>134</v>
      </c>
      <c r="F168" s="3">
        <v>122.2</v>
      </c>
      <c r="G168" s="8">
        <f>G153+F168</f>
        <v>1808.5225000000007</v>
      </c>
      <c r="H168" s="3">
        <v>88</v>
      </c>
      <c r="I168" s="50">
        <v>5.974</v>
      </c>
      <c r="J168" s="11"/>
      <c r="N168" s="1">
        <f>($S$291-(B168+C168)/2)/100</f>
        <v>12.670488299999997</v>
      </c>
      <c r="O168" s="1"/>
      <c r="P168" s="1"/>
      <c r="Q168" s="162">
        <f>B168</f>
        <v>1804.8355000000006</v>
      </c>
      <c r="R168" s="162">
        <v>0</v>
      </c>
      <c r="S168" s="162">
        <f>C168</f>
        <v>2068.5675000000006</v>
      </c>
      <c r="T168" s="162">
        <v>0</v>
      </c>
      <c r="X168" s="10">
        <f t="shared" si="14"/>
        <v>290.1487794110676</v>
      </c>
      <c r="Y168" s="10">
        <f t="shared" si="15"/>
        <v>446.3660869302558</v>
      </c>
      <c r="Z168" s="10">
        <f t="shared" si="16"/>
        <v>292.5853453794462</v>
      </c>
      <c r="AA168" s="10">
        <f t="shared" si="17"/>
        <v>445.3568282596766</v>
      </c>
    </row>
    <row r="169" spans="1:27" ht="12.75">
      <c r="A169" s="201"/>
      <c r="B169" s="211"/>
      <c r="C169" s="211"/>
      <c r="D169" s="211"/>
      <c r="E169" s="228"/>
      <c r="F169" s="3">
        <v>12.7358</v>
      </c>
      <c r="G169" s="8">
        <f>G168+F169</f>
        <v>1821.2583000000006</v>
      </c>
      <c r="H169" s="3">
        <v>89</v>
      </c>
      <c r="I169" s="51"/>
      <c r="J169" s="11"/>
      <c r="Q169" s="162"/>
      <c r="R169" s="162"/>
      <c r="S169" s="162"/>
      <c r="T169" s="162"/>
      <c r="X169" s="10">
        <f t="shared" si="14"/>
        <v>273.4742736331507</v>
      </c>
      <c r="Y169" s="10">
        <f t="shared" si="15"/>
        <v>453.272893375223</v>
      </c>
      <c r="Z169" s="10">
        <f t="shared" si="16"/>
        <v>273.4742736331507</v>
      </c>
      <c r="AA169" s="10">
        <f t="shared" si="17"/>
        <v>453.272893375223</v>
      </c>
    </row>
    <row r="170" spans="1:27" ht="12.75">
      <c r="A170" s="201"/>
      <c r="B170" s="211"/>
      <c r="C170" s="211"/>
      <c r="D170" s="211"/>
      <c r="E170" s="228"/>
      <c r="F170" s="3">
        <v>12.7902</v>
      </c>
      <c r="G170" s="8">
        <f aca="true" t="shared" si="18" ref="G170:G187">G169+F170</f>
        <v>1834.0485000000006</v>
      </c>
      <c r="H170" s="3">
        <v>90</v>
      </c>
      <c r="I170" s="51"/>
      <c r="J170" s="11"/>
      <c r="Q170" s="162"/>
      <c r="R170" s="162"/>
      <c r="S170" s="162"/>
      <c r="T170" s="162"/>
      <c r="X170" s="10">
        <f t="shared" si="14"/>
        <v>273.4742736331507</v>
      </c>
      <c r="Y170" s="10">
        <f t="shared" si="15"/>
        <v>453.272893375223</v>
      </c>
      <c r="Z170" s="10">
        <f t="shared" si="16"/>
        <v>273.4742736331507</v>
      </c>
      <c r="AA170" s="10">
        <f t="shared" si="17"/>
        <v>453.272893375223</v>
      </c>
    </row>
    <row r="171" spans="1:27" ht="12.75">
      <c r="A171" s="201"/>
      <c r="B171" s="211"/>
      <c r="C171" s="211"/>
      <c r="D171" s="211"/>
      <c r="E171" s="228"/>
      <c r="F171" s="3">
        <v>15.35</v>
      </c>
      <c r="G171" s="8">
        <f t="shared" si="18"/>
        <v>1849.3985000000005</v>
      </c>
      <c r="H171" s="3">
        <v>91</v>
      </c>
      <c r="I171" s="51"/>
      <c r="J171" s="11"/>
      <c r="Q171" s="162"/>
      <c r="R171" s="162"/>
      <c r="S171" s="162"/>
      <c r="T171" s="162"/>
      <c r="X171" s="10">
        <f t="shared" si="14"/>
        <v>273.4742736331507</v>
      </c>
      <c r="Y171" s="10">
        <f t="shared" si="15"/>
        <v>453.272893375223</v>
      </c>
      <c r="Z171" s="10">
        <f t="shared" si="16"/>
        <v>273.4742736331507</v>
      </c>
      <c r="AA171" s="10">
        <f t="shared" si="17"/>
        <v>453.272893375223</v>
      </c>
    </row>
    <row r="172" spans="1:27" ht="12.75">
      <c r="A172" s="201"/>
      <c r="B172" s="211"/>
      <c r="C172" s="211"/>
      <c r="D172" s="211"/>
      <c r="E172" s="228"/>
      <c r="F172" s="3">
        <v>12.8404</v>
      </c>
      <c r="G172" s="8">
        <f t="shared" si="18"/>
        <v>1862.2389000000005</v>
      </c>
      <c r="H172" s="3">
        <v>92</v>
      </c>
      <c r="I172" s="51"/>
      <c r="J172" s="11"/>
      <c r="Q172" s="162"/>
      <c r="R172" s="162"/>
      <c r="S172" s="162"/>
      <c r="T172" s="162"/>
      <c r="X172" s="10">
        <f t="shared" si="14"/>
        <v>273.4742736331507</v>
      </c>
      <c r="Y172" s="10">
        <f t="shared" si="15"/>
        <v>453.272893375223</v>
      </c>
      <c r="Z172" s="10">
        <f t="shared" si="16"/>
        <v>273.4742736331507</v>
      </c>
      <c r="AA172" s="10">
        <f t="shared" si="17"/>
        <v>453.272893375223</v>
      </c>
    </row>
    <row r="173" spans="1:27" ht="12.75">
      <c r="A173" s="201"/>
      <c r="B173" s="211"/>
      <c r="C173" s="211"/>
      <c r="D173" s="211"/>
      <c r="E173" s="228"/>
      <c r="F173" s="3">
        <v>12.9242</v>
      </c>
      <c r="G173" s="8">
        <f t="shared" si="18"/>
        <v>1875.1631000000004</v>
      </c>
      <c r="H173" s="3">
        <v>93</v>
      </c>
      <c r="I173" s="51"/>
      <c r="J173" s="11"/>
      <c r="Q173" s="162"/>
      <c r="R173" s="162"/>
      <c r="S173" s="162"/>
      <c r="T173" s="162"/>
      <c r="X173" s="10">
        <f t="shared" si="14"/>
        <v>273.4742736331507</v>
      </c>
      <c r="Y173" s="10">
        <f t="shared" si="15"/>
        <v>453.272893375223</v>
      </c>
      <c r="Z173" s="10">
        <f t="shared" si="16"/>
        <v>273.4742736331507</v>
      </c>
      <c r="AA173" s="10">
        <f t="shared" si="17"/>
        <v>453.272893375223</v>
      </c>
    </row>
    <row r="174" spans="1:27" ht="12.75">
      <c r="A174" s="201"/>
      <c r="B174" s="211"/>
      <c r="C174" s="211"/>
      <c r="D174" s="211"/>
      <c r="E174" s="228"/>
      <c r="F174" s="3">
        <v>13.0088</v>
      </c>
      <c r="G174" s="8">
        <f t="shared" si="18"/>
        <v>1888.1719000000005</v>
      </c>
      <c r="H174" s="3">
        <v>94</v>
      </c>
      <c r="I174" s="51"/>
      <c r="J174" s="11"/>
      <c r="Q174" s="162"/>
      <c r="R174" s="162"/>
      <c r="S174" s="162"/>
      <c r="T174" s="162"/>
      <c r="X174" s="10">
        <f t="shared" si="14"/>
        <v>273.4742736331507</v>
      </c>
      <c r="Y174" s="10">
        <f t="shared" si="15"/>
        <v>453.272893375223</v>
      </c>
      <c r="Z174" s="10">
        <f t="shared" si="16"/>
        <v>273.4742736331507</v>
      </c>
      <c r="AA174" s="10">
        <f t="shared" si="17"/>
        <v>453.272893375223</v>
      </c>
    </row>
    <row r="175" spans="1:27" ht="12.75">
      <c r="A175" s="201"/>
      <c r="B175" s="211"/>
      <c r="C175" s="211"/>
      <c r="D175" s="211"/>
      <c r="E175" s="228"/>
      <c r="F175" s="3">
        <v>13.094</v>
      </c>
      <c r="G175" s="8">
        <f t="shared" si="18"/>
        <v>1901.2659000000006</v>
      </c>
      <c r="H175" s="3">
        <v>95</v>
      </c>
      <c r="I175" s="51"/>
      <c r="J175" s="11"/>
      <c r="Q175" s="162"/>
      <c r="R175" s="162"/>
      <c r="S175" s="162"/>
      <c r="T175" s="162"/>
      <c r="X175" s="10">
        <f t="shared" si="14"/>
        <v>273.4742736331507</v>
      </c>
      <c r="Y175" s="10">
        <f t="shared" si="15"/>
        <v>453.272893375223</v>
      </c>
      <c r="Z175" s="10">
        <f t="shared" si="16"/>
        <v>273.4742736331507</v>
      </c>
      <c r="AA175" s="10">
        <f t="shared" si="17"/>
        <v>453.272893375223</v>
      </c>
    </row>
    <row r="176" spans="1:27" ht="12.75">
      <c r="A176" s="201"/>
      <c r="B176" s="211"/>
      <c r="C176" s="211"/>
      <c r="D176" s="211"/>
      <c r="E176" s="228"/>
      <c r="F176" s="3">
        <v>13.18</v>
      </c>
      <c r="G176" s="8">
        <f t="shared" si="18"/>
        <v>1914.4459000000006</v>
      </c>
      <c r="H176" s="3">
        <v>96</v>
      </c>
      <c r="I176" s="51"/>
      <c r="J176" s="11"/>
      <c r="Q176" s="162"/>
      <c r="R176" s="162"/>
      <c r="S176" s="162"/>
      <c r="T176" s="162"/>
      <c r="X176" s="10">
        <f t="shared" si="14"/>
        <v>273.4742736331507</v>
      </c>
      <c r="Y176" s="10">
        <f t="shared" si="15"/>
        <v>453.272893375223</v>
      </c>
      <c r="Z176" s="10">
        <f t="shared" si="16"/>
        <v>273.4742736331507</v>
      </c>
      <c r="AA176" s="10">
        <f t="shared" si="17"/>
        <v>453.272893375223</v>
      </c>
    </row>
    <row r="177" spans="1:27" ht="12.75">
      <c r="A177" s="201"/>
      <c r="B177" s="211"/>
      <c r="C177" s="211"/>
      <c r="D177" s="211"/>
      <c r="E177" s="228"/>
      <c r="F177" s="3">
        <v>13.2663</v>
      </c>
      <c r="G177" s="8">
        <f t="shared" si="18"/>
        <v>1927.7122000000006</v>
      </c>
      <c r="H177" s="3">
        <v>97</v>
      </c>
      <c r="I177" s="51"/>
      <c r="J177" s="11"/>
      <c r="Q177" s="162"/>
      <c r="R177" s="162"/>
      <c r="S177" s="162"/>
      <c r="T177" s="162"/>
      <c r="X177" s="10">
        <f t="shared" si="14"/>
        <v>273.4742736331507</v>
      </c>
      <c r="Y177" s="10">
        <f t="shared" si="15"/>
        <v>453.272893375223</v>
      </c>
      <c r="Z177" s="10">
        <f t="shared" si="16"/>
        <v>273.4742736331507</v>
      </c>
      <c r="AA177" s="10">
        <f t="shared" si="17"/>
        <v>453.272893375223</v>
      </c>
    </row>
    <row r="178" spans="1:27" ht="12.75">
      <c r="A178" s="201"/>
      <c r="B178" s="211"/>
      <c r="C178" s="211"/>
      <c r="D178" s="211"/>
      <c r="E178" s="228"/>
      <c r="F178" s="3">
        <v>13.3524</v>
      </c>
      <c r="G178" s="8">
        <f t="shared" si="18"/>
        <v>1941.0646000000006</v>
      </c>
      <c r="H178" s="3">
        <v>98</v>
      </c>
      <c r="I178" s="51"/>
      <c r="J178" s="11"/>
      <c r="Q178" s="162"/>
      <c r="R178" s="162"/>
      <c r="S178" s="162"/>
      <c r="T178" s="162"/>
      <c r="X178" s="10">
        <f t="shared" si="14"/>
        <v>273.4742736331507</v>
      </c>
      <c r="Y178" s="10">
        <f t="shared" si="15"/>
        <v>453.272893375223</v>
      </c>
      <c r="Z178" s="10">
        <f t="shared" si="16"/>
        <v>273.4742736331507</v>
      </c>
      <c r="AA178" s="10">
        <f t="shared" si="17"/>
        <v>453.272893375223</v>
      </c>
    </row>
    <row r="179" spans="1:27" ht="12.75">
      <c r="A179" s="201"/>
      <c r="B179" s="211"/>
      <c r="C179" s="211"/>
      <c r="D179" s="211"/>
      <c r="E179" s="228"/>
      <c r="F179" s="3">
        <v>13.4381</v>
      </c>
      <c r="G179" s="8">
        <f t="shared" si="18"/>
        <v>1954.5027000000007</v>
      </c>
      <c r="H179" s="3">
        <v>99</v>
      </c>
      <c r="I179" s="51"/>
      <c r="J179" s="11"/>
      <c r="Q179" s="162"/>
      <c r="R179" s="162"/>
      <c r="S179" s="162"/>
      <c r="T179" s="162"/>
      <c r="X179" s="10">
        <f t="shared" si="14"/>
        <v>273.4742736331507</v>
      </c>
      <c r="Y179" s="10">
        <f t="shared" si="15"/>
        <v>453.272893375223</v>
      </c>
      <c r="Z179" s="10">
        <f t="shared" si="16"/>
        <v>273.4742736331507</v>
      </c>
      <c r="AA179" s="10">
        <f t="shared" si="17"/>
        <v>453.272893375223</v>
      </c>
    </row>
    <row r="180" spans="1:27" ht="12.75">
      <c r="A180" s="201"/>
      <c r="B180" s="211"/>
      <c r="C180" s="211"/>
      <c r="D180" s="211"/>
      <c r="E180" s="228"/>
      <c r="F180" s="3">
        <v>13.5227</v>
      </c>
      <c r="G180" s="8">
        <f t="shared" si="18"/>
        <v>1968.0254000000007</v>
      </c>
      <c r="H180" s="3">
        <v>100</v>
      </c>
      <c r="I180" s="51"/>
      <c r="J180" s="11"/>
      <c r="Q180" s="162"/>
      <c r="R180" s="162"/>
      <c r="S180" s="162"/>
      <c r="T180" s="162"/>
      <c r="X180" s="10">
        <f t="shared" si="14"/>
        <v>273.4742736331507</v>
      </c>
      <c r="Y180" s="10">
        <f t="shared" si="15"/>
        <v>453.272893375223</v>
      </c>
      <c r="Z180" s="10">
        <f t="shared" si="16"/>
        <v>273.4742736331507</v>
      </c>
      <c r="AA180" s="10">
        <f t="shared" si="17"/>
        <v>453.272893375223</v>
      </c>
    </row>
    <row r="181" spans="1:27" ht="12.75">
      <c r="A181" s="201"/>
      <c r="B181" s="211"/>
      <c r="C181" s="211"/>
      <c r="D181" s="211"/>
      <c r="E181" s="228"/>
      <c r="F181" s="3">
        <v>13.6068</v>
      </c>
      <c r="G181" s="8">
        <f t="shared" si="18"/>
        <v>1981.6322000000007</v>
      </c>
      <c r="H181" s="3">
        <v>101</v>
      </c>
      <c r="I181" s="51"/>
      <c r="J181" s="11"/>
      <c r="Q181" s="162"/>
      <c r="R181" s="162"/>
      <c r="S181" s="162"/>
      <c r="T181" s="162"/>
      <c r="X181" s="10">
        <f t="shared" si="14"/>
        <v>273.4742736331507</v>
      </c>
      <c r="Y181" s="10">
        <f t="shared" si="15"/>
        <v>453.272893375223</v>
      </c>
      <c r="Z181" s="10">
        <f t="shared" si="16"/>
        <v>273.4742736331507</v>
      </c>
      <c r="AA181" s="10">
        <f t="shared" si="17"/>
        <v>453.272893375223</v>
      </c>
    </row>
    <row r="182" spans="1:27" ht="12.75">
      <c r="A182" s="201"/>
      <c r="B182" s="211"/>
      <c r="C182" s="211"/>
      <c r="D182" s="211"/>
      <c r="E182" s="228"/>
      <c r="F182" s="3">
        <v>13.6904</v>
      </c>
      <c r="G182" s="8">
        <f t="shared" si="18"/>
        <v>1995.3226000000006</v>
      </c>
      <c r="H182" s="3">
        <v>102</v>
      </c>
      <c r="I182" s="51"/>
      <c r="J182" s="11"/>
      <c r="Q182" s="162"/>
      <c r="R182" s="162"/>
      <c r="S182" s="162"/>
      <c r="T182" s="162"/>
      <c r="X182" s="10">
        <f t="shared" si="14"/>
        <v>273.4742736331507</v>
      </c>
      <c r="Y182" s="10">
        <f t="shared" si="15"/>
        <v>453.272893375223</v>
      </c>
      <c r="Z182" s="10">
        <f t="shared" si="16"/>
        <v>273.4742736331507</v>
      </c>
      <c r="AA182" s="10">
        <f t="shared" si="17"/>
        <v>453.272893375223</v>
      </c>
    </row>
    <row r="183" spans="1:27" ht="12.75">
      <c r="A183" s="201"/>
      <c r="B183" s="211"/>
      <c r="C183" s="211"/>
      <c r="D183" s="211"/>
      <c r="E183" s="228"/>
      <c r="F183" s="3">
        <v>13.7724</v>
      </c>
      <c r="G183" s="8">
        <f t="shared" si="18"/>
        <v>2009.0950000000007</v>
      </c>
      <c r="H183" s="3">
        <v>103</v>
      </c>
      <c r="I183" s="51"/>
      <c r="J183" s="11"/>
      <c r="Q183" s="162"/>
      <c r="R183" s="162"/>
      <c r="S183" s="162"/>
      <c r="T183" s="162"/>
      <c r="X183" s="10">
        <f t="shared" si="14"/>
        <v>273.4742736331507</v>
      </c>
      <c r="Y183" s="10">
        <f t="shared" si="15"/>
        <v>453.272893375223</v>
      </c>
      <c r="Z183" s="10">
        <f t="shared" si="16"/>
        <v>273.4742736331507</v>
      </c>
      <c r="AA183" s="10">
        <f t="shared" si="17"/>
        <v>453.272893375223</v>
      </c>
    </row>
    <row r="184" spans="1:27" ht="12.75">
      <c r="A184" s="201"/>
      <c r="B184" s="211"/>
      <c r="C184" s="211"/>
      <c r="D184" s="211"/>
      <c r="E184" s="228"/>
      <c r="F184" s="3">
        <v>13.8531</v>
      </c>
      <c r="G184" s="8">
        <f t="shared" si="18"/>
        <v>2022.9481000000007</v>
      </c>
      <c r="H184" s="3">
        <v>104</v>
      </c>
      <c r="I184" s="51"/>
      <c r="J184" s="11"/>
      <c r="Q184" s="162"/>
      <c r="R184" s="162"/>
      <c r="S184" s="162"/>
      <c r="T184" s="162"/>
      <c r="X184" s="10">
        <f t="shared" si="14"/>
        <v>273.4742736331507</v>
      </c>
      <c r="Y184" s="10">
        <f t="shared" si="15"/>
        <v>453.272893375223</v>
      </c>
      <c r="Z184" s="10">
        <f t="shared" si="16"/>
        <v>273.4742736331507</v>
      </c>
      <c r="AA184" s="10">
        <f t="shared" si="17"/>
        <v>453.272893375223</v>
      </c>
    </row>
    <row r="185" spans="1:27" ht="12.75">
      <c r="A185" s="201"/>
      <c r="B185" s="211"/>
      <c r="C185" s="211"/>
      <c r="D185" s="211"/>
      <c r="E185" s="228"/>
      <c r="F185" s="3">
        <v>13.9319</v>
      </c>
      <c r="G185" s="8">
        <f t="shared" si="18"/>
        <v>2036.8800000000008</v>
      </c>
      <c r="H185" s="3">
        <v>105</v>
      </c>
      <c r="I185" s="51"/>
      <c r="J185" s="11"/>
      <c r="Q185" s="162"/>
      <c r="R185" s="162"/>
      <c r="S185" s="162"/>
      <c r="T185" s="162"/>
      <c r="X185" s="10">
        <f t="shared" si="14"/>
        <v>273.4742736331507</v>
      </c>
      <c r="Y185" s="10">
        <f t="shared" si="15"/>
        <v>453.272893375223</v>
      </c>
      <c r="Z185" s="10">
        <f t="shared" si="16"/>
        <v>273.4742736331507</v>
      </c>
      <c r="AA185" s="10">
        <f t="shared" si="17"/>
        <v>453.272893375223</v>
      </c>
    </row>
    <row r="186" spans="1:27" ht="12.75">
      <c r="A186" s="201"/>
      <c r="B186" s="211"/>
      <c r="C186" s="211"/>
      <c r="D186" s="211"/>
      <c r="E186" s="228"/>
      <c r="F186" s="3">
        <v>14.0089</v>
      </c>
      <c r="G186" s="8">
        <f t="shared" si="18"/>
        <v>2050.888900000001</v>
      </c>
      <c r="H186" s="3">
        <v>106</v>
      </c>
      <c r="I186" s="51"/>
      <c r="J186" s="11"/>
      <c r="Q186" s="162"/>
      <c r="R186" s="162"/>
      <c r="S186" s="162"/>
      <c r="T186" s="162"/>
      <c r="X186" s="10">
        <f t="shared" si="14"/>
        <v>273.4742736331507</v>
      </c>
      <c r="Y186" s="10">
        <f t="shared" si="15"/>
        <v>453.272893375223</v>
      </c>
      <c r="Z186" s="10">
        <f t="shared" si="16"/>
        <v>273.4742736331507</v>
      </c>
      <c r="AA186" s="10">
        <f t="shared" si="17"/>
        <v>453.272893375223</v>
      </c>
    </row>
    <row r="187" spans="1:27" ht="12.75">
      <c r="A187" s="201"/>
      <c r="B187" s="212"/>
      <c r="C187" s="212"/>
      <c r="D187" s="212"/>
      <c r="E187" s="209"/>
      <c r="F187" s="3">
        <v>14.0848</v>
      </c>
      <c r="G187" s="8">
        <f t="shared" si="18"/>
        <v>2064.973700000001</v>
      </c>
      <c r="H187" s="3">
        <v>107</v>
      </c>
      <c r="I187" s="50">
        <v>5.7876</v>
      </c>
      <c r="J187" s="11"/>
      <c r="Q187" s="162"/>
      <c r="R187" s="162"/>
      <c r="S187" s="162"/>
      <c r="T187" s="162"/>
      <c r="X187" s="10">
        <f t="shared" si="14"/>
        <v>273.4742736331507</v>
      </c>
      <c r="Y187" s="10">
        <f t="shared" si="15"/>
        <v>453.272893375223</v>
      </c>
      <c r="Z187" s="10">
        <f t="shared" si="16"/>
        <v>273.4742736331507</v>
      </c>
      <c r="AA187" s="10">
        <f t="shared" si="17"/>
        <v>453.272893375223</v>
      </c>
    </row>
    <row r="188" spans="1:27" ht="12.75">
      <c r="A188" s="49" t="s">
        <v>31</v>
      </c>
      <c r="B188" s="12">
        <f>G187+7-0.5*$M$3</f>
        <v>2071.723700000001</v>
      </c>
      <c r="C188" s="12">
        <f>B188+$L$3</f>
        <v>2076.823700000001</v>
      </c>
      <c r="D188" s="25">
        <v>18</v>
      </c>
      <c r="E188" s="81" t="s">
        <v>135</v>
      </c>
      <c r="F188" s="7"/>
      <c r="G188" s="8"/>
      <c r="H188" s="3"/>
      <c r="I188" s="51"/>
      <c r="J188" s="11"/>
      <c r="Q188" s="162">
        <f>B188</f>
        <v>2071.723700000001</v>
      </c>
      <c r="R188" s="162">
        <v>0</v>
      </c>
      <c r="S188" s="162">
        <f>C188</f>
        <v>2076.823700000001</v>
      </c>
      <c r="T188" s="162">
        <v>0</v>
      </c>
      <c r="X188" s="10">
        <f t="shared" si="14"/>
        <v>292.6145048652477</v>
      </c>
      <c r="Y188" s="10">
        <f t="shared" si="15"/>
        <v>445.3447500051755</v>
      </c>
      <c r="Z188" s="10">
        <f t="shared" si="16"/>
        <v>292.66162272139985</v>
      </c>
      <c r="AA188" s="10">
        <f t="shared" si="17"/>
        <v>445.3252331501107</v>
      </c>
    </row>
    <row r="189" spans="1:27" ht="12.75">
      <c r="A189" s="49" t="s">
        <v>32</v>
      </c>
      <c r="B189" s="31">
        <f>C188+1.8-0.5*($M$3+$M$10)</f>
        <v>2078.123700000001</v>
      </c>
      <c r="C189" s="31">
        <f>B189+$L$10</f>
        <v>2087.023700000001</v>
      </c>
      <c r="D189" s="31">
        <v>18</v>
      </c>
      <c r="E189" s="81" t="s">
        <v>136</v>
      </c>
      <c r="F189" s="7"/>
      <c r="G189" s="8"/>
      <c r="H189" s="3"/>
      <c r="I189" s="51"/>
      <c r="J189" s="11"/>
      <c r="O189" s="1">
        <f>($S$291-(B189+C189)/2)/100</f>
        <v>11.211766299999995</v>
      </c>
      <c r="Q189" s="162">
        <f>B189</f>
        <v>2078.123700000001</v>
      </c>
      <c r="R189" s="162">
        <v>0</v>
      </c>
      <c r="S189" s="162">
        <f>C189</f>
        <v>2087.023700000001</v>
      </c>
      <c r="T189" s="162">
        <v>0</v>
      </c>
      <c r="X189" s="10">
        <f t="shared" si="14"/>
        <v>292.673633155321</v>
      </c>
      <c r="Y189" s="10">
        <f t="shared" si="15"/>
        <v>445.3202582654863</v>
      </c>
      <c r="Z189" s="10">
        <f t="shared" si="16"/>
        <v>292.75585843370425</v>
      </c>
      <c r="AA189" s="10">
        <f t="shared" si="17"/>
        <v>445.28619943998103</v>
      </c>
    </row>
    <row r="190" spans="1:27" ht="12.75">
      <c r="A190" s="49" t="s">
        <v>31</v>
      </c>
      <c r="B190" s="31">
        <f>C189+1.8-0.5*($M$3+$M$10)</f>
        <v>2088.3237000000013</v>
      </c>
      <c r="C190" s="31">
        <f>B190+$L$3</f>
        <v>2093.423700000001</v>
      </c>
      <c r="D190" s="31">
        <v>18</v>
      </c>
      <c r="E190" s="81" t="s">
        <v>137</v>
      </c>
      <c r="F190" s="7"/>
      <c r="G190" s="8"/>
      <c r="H190" s="3"/>
      <c r="I190" s="51"/>
      <c r="J190" s="11"/>
      <c r="P190" s="1">
        <f>($S$291-C190-250)/100</f>
        <v>8.60326629999999</v>
      </c>
      <c r="Q190" s="162">
        <f>B190</f>
        <v>2088.3237000000013</v>
      </c>
      <c r="R190" s="162">
        <v>0</v>
      </c>
      <c r="S190" s="162">
        <f>C190</f>
        <v>2093.423700000001</v>
      </c>
      <c r="T190" s="162">
        <v>0</v>
      </c>
      <c r="X190" s="10">
        <f t="shared" si="14"/>
        <v>292.7678688676254</v>
      </c>
      <c r="Y190" s="10">
        <f t="shared" si="15"/>
        <v>445.2812245553567</v>
      </c>
      <c r="Z190" s="10">
        <f t="shared" si="16"/>
        <v>292.8149867237776</v>
      </c>
      <c r="AA190" s="10">
        <f t="shared" si="17"/>
        <v>445.2617077002919</v>
      </c>
    </row>
    <row r="191" spans="1:27" ht="12.75">
      <c r="A191" s="58" t="s">
        <v>30</v>
      </c>
      <c r="B191" s="55">
        <f>C190+1</f>
        <v>2094.423700000001</v>
      </c>
      <c r="C191" s="55">
        <f>B191+4</f>
        <v>2098.423700000001</v>
      </c>
      <c r="D191" s="55">
        <v>3</v>
      </c>
      <c r="E191" s="82" t="s">
        <v>138</v>
      </c>
      <c r="F191" s="7"/>
      <c r="G191" s="8"/>
      <c r="H191" s="3"/>
      <c r="I191" s="51"/>
      <c r="J191" s="11"/>
      <c r="Q191" s="162">
        <f>B191</f>
        <v>2094.423700000001</v>
      </c>
      <c r="R191" s="162">
        <v>0</v>
      </c>
      <c r="S191" s="162">
        <f>C191</f>
        <v>2098.423700000001</v>
      </c>
      <c r="T191" s="162">
        <v>0</v>
      </c>
      <c r="X191" s="10">
        <f t="shared" si="14"/>
        <v>292.82422551910156</v>
      </c>
      <c r="Y191" s="10">
        <f t="shared" si="15"/>
        <v>445.25788086596543</v>
      </c>
      <c r="Z191" s="10">
        <f t="shared" si="16"/>
        <v>292.8611807003974</v>
      </c>
      <c r="AA191" s="10">
        <f t="shared" si="17"/>
        <v>445.2425735286597</v>
      </c>
    </row>
    <row r="192" spans="1:27" ht="12.75">
      <c r="A192" s="201" t="s">
        <v>13</v>
      </c>
      <c r="B192" s="210">
        <f>G192-I192/2-$L$15</f>
        <v>2099.302600000001</v>
      </c>
      <c r="C192" s="210">
        <f>G212+I212/2+$L$15</f>
        <v>2406.3311500000004</v>
      </c>
      <c r="D192" s="210">
        <v>54</v>
      </c>
      <c r="E192" s="208" t="s">
        <v>139</v>
      </c>
      <c r="F192" s="3">
        <v>38.2</v>
      </c>
      <c r="G192" s="8">
        <f>G187+F192</f>
        <v>2103.1737000000007</v>
      </c>
      <c r="H192" s="3">
        <v>108</v>
      </c>
      <c r="I192" s="50">
        <v>6.3422</v>
      </c>
      <c r="J192" s="11"/>
      <c r="N192" s="1">
        <f>($S$291-(B192+C192)/2)/100</f>
        <v>9.509334549999998</v>
      </c>
      <c r="O192" s="1"/>
      <c r="P192" s="1"/>
      <c r="Q192" s="162">
        <f>B192</f>
        <v>2099.302600000001</v>
      </c>
      <c r="R192" s="162">
        <v>0</v>
      </c>
      <c r="S192" s="162">
        <f>C192</f>
        <v>2406.3311500000004</v>
      </c>
      <c r="T192" s="162">
        <v>0</v>
      </c>
      <c r="X192" s="10">
        <f t="shared" si="14"/>
        <v>292.8693006776076</v>
      </c>
      <c r="Y192" s="10">
        <f t="shared" si="15"/>
        <v>445.23921012397017</v>
      </c>
      <c r="Z192" s="10">
        <f t="shared" si="16"/>
        <v>295.7058746096698</v>
      </c>
      <c r="AA192" s="10">
        <f t="shared" si="17"/>
        <v>444.06426272963483</v>
      </c>
    </row>
    <row r="193" spans="1:27" ht="12.75">
      <c r="A193" s="201"/>
      <c r="B193" s="211"/>
      <c r="C193" s="211"/>
      <c r="D193" s="211"/>
      <c r="E193" s="228"/>
      <c r="F193" s="3">
        <v>14.2785</v>
      </c>
      <c r="G193" s="8">
        <f>G192+F193</f>
        <v>2117.4522000000006</v>
      </c>
      <c r="H193" s="3">
        <v>109</v>
      </c>
      <c r="I193" s="51"/>
      <c r="J193" s="11"/>
      <c r="Q193" s="162"/>
      <c r="R193" s="162"/>
      <c r="S193" s="162"/>
      <c r="T193" s="162"/>
      <c r="X193" s="10">
        <f t="shared" si="14"/>
        <v>273.4742736331507</v>
      </c>
      <c r="Y193" s="10">
        <f t="shared" si="15"/>
        <v>453.272893375223</v>
      </c>
      <c r="Z193" s="10">
        <f t="shared" si="16"/>
        <v>273.4742736331507</v>
      </c>
      <c r="AA193" s="10">
        <f t="shared" si="17"/>
        <v>453.272893375223</v>
      </c>
    </row>
    <row r="194" spans="1:27" ht="12.75">
      <c r="A194" s="201"/>
      <c r="B194" s="211"/>
      <c r="C194" s="211"/>
      <c r="D194" s="211"/>
      <c r="E194" s="228"/>
      <c r="F194" s="3">
        <v>14.3339</v>
      </c>
      <c r="G194" s="8">
        <f aca="true" t="shared" si="19" ref="G194:G212">G193+F194</f>
        <v>2131.7861000000007</v>
      </c>
      <c r="H194" s="3">
        <v>110</v>
      </c>
      <c r="I194" s="51"/>
      <c r="J194" s="11"/>
      <c r="Q194" s="162"/>
      <c r="R194" s="162"/>
      <c r="S194" s="162"/>
      <c r="T194" s="162"/>
      <c r="X194" s="10">
        <f t="shared" si="14"/>
        <v>273.4742736331507</v>
      </c>
      <c r="Y194" s="10">
        <f t="shared" si="15"/>
        <v>453.272893375223</v>
      </c>
      <c r="Z194" s="10">
        <f t="shared" si="16"/>
        <v>273.4742736331507</v>
      </c>
      <c r="AA194" s="10">
        <f t="shared" si="17"/>
        <v>453.272893375223</v>
      </c>
    </row>
    <row r="195" spans="1:27" ht="12.75">
      <c r="A195" s="201"/>
      <c r="B195" s="211"/>
      <c r="C195" s="211"/>
      <c r="D195" s="211"/>
      <c r="E195" s="228"/>
      <c r="F195" s="3">
        <v>16.6</v>
      </c>
      <c r="G195" s="8">
        <f t="shared" si="19"/>
        <v>2148.3861000000006</v>
      </c>
      <c r="H195" s="3">
        <v>111</v>
      </c>
      <c r="I195" s="51"/>
      <c r="J195" s="11"/>
      <c r="Q195" s="162"/>
      <c r="R195" s="162"/>
      <c r="S195" s="162"/>
      <c r="T195" s="162"/>
      <c r="X195" s="10">
        <f t="shared" si="14"/>
        <v>273.4742736331507</v>
      </c>
      <c r="Y195" s="10">
        <f t="shared" si="15"/>
        <v>453.272893375223</v>
      </c>
      <c r="Z195" s="10">
        <f t="shared" si="16"/>
        <v>273.4742736331507</v>
      </c>
      <c r="AA195" s="10">
        <f t="shared" si="17"/>
        <v>453.272893375223</v>
      </c>
    </row>
    <row r="196" spans="1:27" ht="12.75">
      <c r="A196" s="201"/>
      <c r="B196" s="211"/>
      <c r="C196" s="211"/>
      <c r="D196" s="211"/>
      <c r="E196" s="228"/>
      <c r="F196" s="3">
        <v>14.3709</v>
      </c>
      <c r="G196" s="8">
        <f t="shared" si="19"/>
        <v>2162.7570000000005</v>
      </c>
      <c r="H196" s="3">
        <v>112</v>
      </c>
      <c r="I196" s="51"/>
      <c r="J196" s="11"/>
      <c r="Q196" s="162"/>
      <c r="R196" s="162"/>
      <c r="S196" s="162"/>
      <c r="T196" s="162"/>
      <c r="X196" s="10">
        <f t="shared" si="14"/>
        <v>273.4742736331507</v>
      </c>
      <c r="Y196" s="10">
        <f t="shared" si="15"/>
        <v>453.272893375223</v>
      </c>
      <c r="Z196" s="10">
        <f t="shared" si="16"/>
        <v>273.4742736331507</v>
      </c>
      <c r="AA196" s="10">
        <f t="shared" si="17"/>
        <v>453.272893375223</v>
      </c>
    </row>
    <row r="197" spans="1:27" ht="12.75">
      <c r="A197" s="201"/>
      <c r="B197" s="211"/>
      <c r="C197" s="211"/>
      <c r="D197" s="211"/>
      <c r="E197" s="228"/>
      <c r="F197" s="3">
        <v>14.4438</v>
      </c>
      <c r="G197" s="8">
        <f t="shared" si="19"/>
        <v>2177.2008000000005</v>
      </c>
      <c r="H197" s="3">
        <v>113</v>
      </c>
      <c r="I197" s="51"/>
      <c r="J197" s="11"/>
      <c r="Q197" s="162"/>
      <c r="R197" s="162"/>
      <c r="S197" s="162"/>
      <c r="T197" s="162"/>
      <c r="X197" s="10">
        <f t="shared" si="14"/>
        <v>273.4742736331507</v>
      </c>
      <c r="Y197" s="10">
        <f t="shared" si="15"/>
        <v>453.272893375223</v>
      </c>
      <c r="Z197" s="10">
        <f t="shared" si="16"/>
        <v>273.4742736331507</v>
      </c>
      <c r="AA197" s="10">
        <f t="shared" si="17"/>
        <v>453.272893375223</v>
      </c>
    </row>
    <row r="198" spans="1:27" ht="12.75">
      <c r="A198" s="201"/>
      <c r="B198" s="211"/>
      <c r="C198" s="211"/>
      <c r="D198" s="211"/>
      <c r="E198" s="228"/>
      <c r="F198" s="3">
        <v>14.5174</v>
      </c>
      <c r="G198" s="8">
        <f t="shared" si="19"/>
        <v>2191.7182000000007</v>
      </c>
      <c r="H198" s="3">
        <v>114</v>
      </c>
      <c r="I198" s="51"/>
      <c r="J198" s="11"/>
      <c r="Q198" s="162"/>
      <c r="R198" s="162"/>
      <c r="S198" s="162"/>
      <c r="T198" s="162"/>
      <c r="X198" s="10">
        <f t="shared" si="14"/>
        <v>273.4742736331507</v>
      </c>
      <c r="Y198" s="10">
        <f t="shared" si="15"/>
        <v>453.272893375223</v>
      </c>
      <c r="Z198" s="10">
        <f t="shared" si="16"/>
        <v>273.4742736331507</v>
      </c>
      <c r="AA198" s="10">
        <f t="shared" si="17"/>
        <v>453.272893375223</v>
      </c>
    </row>
    <row r="199" spans="1:27" ht="12.75">
      <c r="A199" s="201"/>
      <c r="B199" s="211"/>
      <c r="C199" s="211"/>
      <c r="D199" s="211"/>
      <c r="E199" s="228"/>
      <c r="F199" s="3">
        <v>14.5914</v>
      </c>
      <c r="G199" s="8">
        <f t="shared" si="19"/>
        <v>2206.3096000000005</v>
      </c>
      <c r="H199" s="3">
        <v>115</v>
      </c>
      <c r="I199" s="51"/>
      <c r="J199" s="11"/>
      <c r="Q199" s="162"/>
      <c r="R199" s="162"/>
      <c r="S199" s="162"/>
      <c r="T199" s="162"/>
      <c r="X199" s="10">
        <f t="shared" si="14"/>
        <v>273.4742736331507</v>
      </c>
      <c r="Y199" s="10">
        <f t="shared" si="15"/>
        <v>453.272893375223</v>
      </c>
      <c r="Z199" s="10">
        <f t="shared" si="16"/>
        <v>273.4742736331507</v>
      </c>
      <c r="AA199" s="10">
        <f t="shared" si="17"/>
        <v>453.272893375223</v>
      </c>
    </row>
    <row r="200" spans="1:27" ht="12.75">
      <c r="A200" s="201"/>
      <c r="B200" s="211"/>
      <c r="C200" s="211"/>
      <c r="D200" s="211"/>
      <c r="E200" s="228"/>
      <c r="F200" s="3">
        <v>14.666</v>
      </c>
      <c r="G200" s="8">
        <f t="shared" si="19"/>
        <v>2220.9756000000007</v>
      </c>
      <c r="H200" s="3">
        <v>116</v>
      </c>
      <c r="I200" s="51"/>
      <c r="J200" s="11"/>
      <c r="Q200" s="162"/>
      <c r="R200" s="162"/>
      <c r="S200" s="162"/>
      <c r="T200" s="162"/>
      <c r="X200" s="10">
        <f t="shared" si="14"/>
        <v>273.4742736331507</v>
      </c>
      <c r="Y200" s="10">
        <f t="shared" si="15"/>
        <v>453.272893375223</v>
      </c>
      <c r="Z200" s="10">
        <f t="shared" si="16"/>
        <v>273.4742736331507</v>
      </c>
      <c r="AA200" s="10">
        <f t="shared" si="17"/>
        <v>453.272893375223</v>
      </c>
    </row>
    <row r="201" spans="1:27" ht="12.75">
      <c r="A201" s="201"/>
      <c r="B201" s="211"/>
      <c r="C201" s="211"/>
      <c r="D201" s="211"/>
      <c r="E201" s="228"/>
      <c r="F201" s="3">
        <v>14.7409</v>
      </c>
      <c r="G201" s="8">
        <f t="shared" si="19"/>
        <v>2235.7165000000005</v>
      </c>
      <c r="H201" s="3">
        <v>117</v>
      </c>
      <c r="I201" s="51"/>
      <c r="J201" s="11"/>
      <c r="Q201" s="162"/>
      <c r="R201" s="162"/>
      <c r="S201" s="162"/>
      <c r="T201" s="162"/>
      <c r="X201" s="10">
        <f aca="true" t="shared" si="20" ref="X201:X240">$X$302+0.01*Q201*COS($Y$307)+0.01*R201*SIN($Y$307)</f>
        <v>273.4742736331507</v>
      </c>
      <c r="Y201" s="10">
        <f aca="true" t="shared" si="21" ref="Y201:Y240">$Y$302-0.01*Q201*SIN($Y$307)+0.01*R201*COS($Y$307)</f>
        <v>453.272893375223</v>
      </c>
      <c r="Z201" s="10">
        <f aca="true" t="shared" si="22" ref="Z201:Z240">$X$302+0.01*S201*COS($Y$307)+0.01*T201*SIN($Y$307)</f>
        <v>273.4742736331507</v>
      </c>
      <c r="AA201" s="10">
        <f aca="true" t="shared" si="23" ref="AA201:AA240">$Y$302-0.01*S201*SIN($Y$307)+0.01*T201*COS($Y$307)</f>
        <v>453.272893375223</v>
      </c>
    </row>
    <row r="202" spans="1:27" ht="12.75">
      <c r="A202" s="201"/>
      <c r="B202" s="211"/>
      <c r="C202" s="211"/>
      <c r="D202" s="211"/>
      <c r="E202" s="228"/>
      <c r="F202" s="3">
        <v>14.8156</v>
      </c>
      <c r="G202" s="8">
        <f t="shared" si="19"/>
        <v>2250.5321000000004</v>
      </c>
      <c r="H202" s="3">
        <v>118</v>
      </c>
      <c r="I202" s="51"/>
      <c r="J202" s="11"/>
      <c r="Q202" s="162"/>
      <c r="R202" s="162"/>
      <c r="S202" s="162"/>
      <c r="T202" s="162"/>
      <c r="X202" s="10">
        <f t="shared" si="20"/>
        <v>273.4742736331507</v>
      </c>
      <c r="Y202" s="10">
        <f t="shared" si="21"/>
        <v>453.272893375223</v>
      </c>
      <c r="Z202" s="10">
        <f t="shared" si="22"/>
        <v>273.4742736331507</v>
      </c>
      <c r="AA202" s="10">
        <f t="shared" si="23"/>
        <v>453.272893375223</v>
      </c>
    </row>
    <row r="203" spans="1:27" ht="12.75">
      <c r="A203" s="201"/>
      <c r="B203" s="211"/>
      <c r="C203" s="211"/>
      <c r="D203" s="211"/>
      <c r="E203" s="228"/>
      <c r="F203" s="3">
        <v>14.8895</v>
      </c>
      <c r="G203" s="8">
        <f t="shared" si="19"/>
        <v>2265.4216000000006</v>
      </c>
      <c r="H203" s="3">
        <v>119</v>
      </c>
      <c r="I203" s="51"/>
      <c r="J203" s="11"/>
      <c r="Q203" s="162"/>
      <c r="R203" s="162"/>
      <c r="S203" s="162"/>
      <c r="T203" s="162"/>
      <c r="X203" s="10">
        <f t="shared" si="20"/>
        <v>273.4742736331507</v>
      </c>
      <c r="Y203" s="10">
        <f t="shared" si="21"/>
        <v>453.272893375223</v>
      </c>
      <c r="Z203" s="10">
        <f t="shared" si="22"/>
        <v>273.4742736331507</v>
      </c>
      <c r="AA203" s="10">
        <f t="shared" si="23"/>
        <v>453.272893375223</v>
      </c>
    </row>
    <row r="204" spans="1:27" ht="12.75">
      <c r="A204" s="201"/>
      <c r="B204" s="211"/>
      <c r="C204" s="211"/>
      <c r="D204" s="211"/>
      <c r="E204" s="228"/>
      <c r="F204" s="3">
        <v>14.9629</v>
      </c>
      <c r="G204" s="8">
        <f t="shared" si="19"/>
        <v>2280.3845000000006</v>
      </c>
      <c r="H204" s="3">
        <v>120</v>
      </c>
      <c r="I204" s="51"/>
      <c r="J204" s="11"/>
      <c r="Q204" s="162"/>
      <c r="R204" s="162"/>
      <c r="S204" s="162"/>
      <c r="T204" s="162"/>
      <c r="X204" s="10">
        <f t="shared" si="20"/>
        <v>273.4742736331507</v>
      </c>
      <c r="Y204" s="10">
        <f t="shared" si="21"/>
        <v>453.272893375223</v>
      </c>
      <c r="Z204" s="10">
        <f t="shared" si="22"/>
        <v>273.4742736331507</v>
      </c>
      <c r="AA204" s="10">
        <f t="shared" si="23"/>
        <v>453.272893375223</v>
      </c>
    </row>
    <row r="205" spans="1:27" ht="12.75">
      <c r="A205" s="201"/>
      <c r="B205" s="211"/>
      <c r="C205" s="211"/>
      <c r="D205" s="211"/>
      <c r="E205" s="228"/>
      <c r="F205" s="3">
        <v>15.036</v>
      </c>
      <c r="G205" s="8">
        <f t="shared" si="19"/>
        <v>2295.4205000000006</v>
      </c>
      <c r="H205" s="3">
        <v>121</v>
      </c>
      <c r="I205" s="51"/>
      <c r="J205" s="11"/>
      <c r="Q205" s="162"/>
      <c r="R205" s="162"/>
      <c r="S205" s="162"/>
      <c r="T205" s="162"/>
      <c r="X205" s="10">
        <f t="shared" si="20"/>
        <v>273.4742736331507</v>
      </c>
      <c r="Y205" s="10">
        <f t="shared" si="21"/>
        <v>453.272893375223</v>
      </c>
      <c r="Z205" s="10">
        <f t="shared" si="22"/>
        <v>273.4742736331507</v>
      </c>
      <c r="AA205" s="10">
        <f t="shared" si="23"/>
        <v>453.272893375223</v>
      </c>
    </row>
    <row r="206" spans="1:27" ht="12.75">
      <c r="A206" s="201"/>
      <c r="B206" s="211"/>
      <c r="C206" s="211"/>
      <c r="D206" s="211"/>
      <c r="E206" s="228"/>
      <c r="F206" s="3">
        <v>15.1084</v>
      </c>
      <c r="G206" s="8">
        <f t="shared" si="19"/>
        <v>2310.5289000000007</v>
      </c>
      <c r="H206" s="3">
        <v>122</v>
      </c>
      <c r="I206" s="51"/>
      <c r="J206" s="11"/>
      <c r="Q206" s="162"/>
      <c r="R206" s="162"/>
      <c r="S206" s="162"/>
      <c r="T206" s="162"/>
      <c r="X206" s="10">
        <f t="shared" si="20"/>
        <v>273.4742736331507</v>
      </c>
      <c r="Y206" s="10">
        <f t="shared" si="21"/>
        <v>453.272893375223</v>
      </c>
      <c r="Z206" s="10">
        <f t="shared" si="22"/>
        <v>273.4742736331507</v>
      </c>
      <c r="AA206" s="10">
        <f t="shared" si="23"/>
        <v>453.272893375223</v>
      </c>
    </row>
    <row r="207" spans="1:27" ht="12.75">
      <c r="A207" s="201"/>
      <c r="B207" s="211"/>
      <c r="C207" s="211"/>
      <c r="D207" s="211"/>
      <c r="E207" s="228"/>
      <c r="F207" s="3">
        <v>15.1805</v>
      </c>
      <c r="G207" s="8">
        <f t="shared" si="19"/>
        <v>2325.7094000000006</v>
      </c>
      <c r="H207" s="3">
        <v>123</v>
      </c>
      <c r="I207" s="51"/>
      <c r="J207" s="11"/>
      <c r="Q207" s="162"/>
      <c r="R207" s="162"/>
      <c r="S207" s="162"/>
      <c r="T207" s="162"/>
      <c r="X207" s="10">
        <f t="shared" si="20"/>
        <v>273.4742736331507</v>
      </c>
      <c r="Y207" s="10">
        <f t="shared" si="21"/>
        <v>453.272893375223</v>
      </c>
      <c r="Z207" s="10">
        <f t="shared" si="22"/>
        <v>273.4742736331507</v>
      </c>
      <c r="AA207" s="10">
        <f t="shared" si="23"/>
        <v>453.272893375223</v>
      </c>
    </row>
    <row r="208" spans="1:27" ht="12.75">
      <c r="A208" s="201"/>
      <c r="B208" s="211"/>
      <c r="C208" s="211"/>
      <c r="D208" s="211"/>
      <c r="E208" s="228"/>
      <c r="F208" s="3">
        <v>15.2508</v>
      </c>
      <c r="G208" s="8">
        <f t="shared" si="19"/>
        <v>2340.9602000000004</v>
      </c>
      <c r="H208" s="3">
        <v>124</v>
      </c>
      <c r="I208" s="51"/>
      <c r="J208" s="11"/>
      <c r="Q208" s="162"/>
      <c r="R208" s="162"/>
      <c r="S208" s="162"/>
      <c r="T208" s="162"/>
      <c r="X208" s="10">
        <f t="shared" si="20"/>
        <v>273.4742736331507</v>
      </c>
      <c r="Y208" s="10">
        <f t="shared" si="21"/>
        <v>453.272893375223</v>
      </c>
      <c r="Z208" s="10">
        <f t="shared" si="22"/>
        <v>273.4742736331507</v>
      </c>
      <c r="AA208" s="10">
        <f t="shared" si="23"/>
        <v>453.272893375223</v>
      </c>
    </row>
    <row r="209" spans="1:27" ht="12.75">
      <c r="A209" s="201"/>
      <c r="B209" s="211"/>
      <c r="C209" s="211"/>
      <c r="D209" s="211"/>
      <c r="E209" s="228"/>
      <c r="F209" s="3">
        <v>15.3204</v>
      </c>
      <c r="G209" s="8">
        <f t="shared" si="19"/>
        <v>2356.2806000000005</v>
      </c>
      <c r="H209" s="3">
        <v>125</v>
      </c>
      <c r="I209" s="51"/>
      <c r="J209" s="11"/>
      <c r="Q209" s="162"/>
      <c r="R209" s="162"/>
      <c r="S209" s="162"/>
      <c r="T209" s="162"/>
      <c r="X209" s="10">
        <f t="shared" si="20"/>
        <v>273.4742736331507</v>
      </c>
      <c r="Y209" s="10">
        <f t="shared" si="21"/>
        <v>453.272893375223</v>
      </c>
      <c r="Z209" s="10">
        <f t="shared" si="22"/>
        <v>273.4742736331507</v>
      </c>
      <c r="AA209" s="10">
        <f t="shared" si="23"/>
        <v>453.272893375223</v>
      </c>
    </row>
    <row r="210" spans="1:27" ht="12.75">
      <c r="A210" s="201"/>
      <c r="B210" s="211"/>
      <c r="C210" s="211"/>
      <c r="D210" s="211"/>
      <c r="E210" s="228"/>
      <c r="F210" s="3">
        <v>15.3896</v>
      </c>
      <c r="G210" s="8">
        <f t="shared" si="19"/>
        <v>2371.6702000000005</v>
      </c>
      <c r="H210" s="3">
        <v>126</v>
      </c>
      <c r="I210" s="51"/>
      <c r="J210" s="11"/>
      <c r="Q210" s="162"/>
      <c r="R210" s="162"/>
      <c r="S210" s="162"/>
      <c r="T210" s="162"/>
      <c r="X210" s="10">
        <f t="shared" si="20"/>
        <v>273.4742736331507</v>
      </c>
      <c r="Y210" s="10">
        <f t="shared" si="21"/>
        <v>453.272893375223</v>
      </c>
      <c r="Z210" s="10">
        <f t="shared" si="22"/>
        <v>273.4742736331507</v>
      </c>
      <c r="AA210" s="10">
        <f t="shared" si="23"/>
        <v>453.272893375223</v>
      </c>
    </row>
    <row r="211" spans="1:27" ht="12.75">
      <c r="A211" s="201"/>
      <c r="B211" s="211"/>
      <c r="C211" s="211"/>
      <c r="D211" s="211"/>
      <c r="E211" s="228"/>
      <c r="F211" s="3">
        <v>15.4562</v>
      </c>
      <c r="G211" s="8">
        <f t="shared" si="19"/>
        <v>2387.1264000000006</v>
      </c>
      <c r="H211" s="3">
        <v>127</v>
      </c>
      <c r="I211" s="51"/>
      <c r="J211" s="11"/>
      <c r="Q211" s="162"/>
      <c r="R211" s="162"/>
      <c r="S211" s="162"/>
      <c r="T211" s="162"/>
      <c r="X211" s="10">
        <f t="shared" si="20"/>
        <v>273.4742736331507</v>
      </c>
      <c r="Y211" s="10">
        <f t="shared" si="21"/>
        <v>453.272893375223</v>
      </c>
      <c r="Z211" s="10">
        <f t="shared" si="22"/>
        <v>273.4742736331507</v>
      </c>
      <c r="AA211" s="10">
        <f t="shared" si="23"/>
        <v>453.272893375223</v>
      </c>
    </row>
    <row r="212" spans="1:27" ht="12.75">
      <c r="A212" s="201"/>
      <c r="B212" s="212"/>
      <c r="C212" s="212"/>
      <c r="D212" s="212"/>
      <c r="E212" s="209"/>
      <c r="F212" s="3">
        <v>15.5221</v>
      </c>
      <c r="G212" s="8">
        <f t="shared" si="19"/>
        <v>2402.6485000000007</v>
      </c>
      <c r="H212" s="3">
        <v>128</v>
      </c>
      <c r="I212" s="50">
        <v>5.9653</v>
      </c>
      <c r="J212" s="11"/>
      <c r="Q212" s="162"/>
      <c r="R212" s="162"/>
      <c r="S212" s="162"/>
      <c r="T212" s="162"/>
      <c r="X212" s="10">
        <f t="shared" si="20"/>
        <v>273.4742736331507</v>
      </c>
      <c r="Y212" s="10">
        <f t="shared" si="21"/>
        <v>453.272893375223</v>
      </c>
      <c r="Z212" s="10">
        <f t="shared" si="22"/>
        <v>273.4742736331507</v>
      </c>
      <c r="AA212" s="10">
        <f t="shared" si="23"/>
        <v>453.272893375223</v>
      </c>
    </row>
    <row r="213" spans="1:27" ht="12.75">
      <c r="A213" s="49" t="s">
        <v>31</v>
      </c>
      <c r="B213" s="12">
        <f>G212+7-0.5*$M$3</f>
        <v>2409.3985000000007</v>
      </c>
      <c r="C213" s="12">
        <f>B213+$L$3</f>
        <v>2414.4985000000006</v>
      </c>
      <c r="D213" s="25">
        <v>18</v>
      </c>
      <c r="E213" s="81" t="s">
        <v>140</v>
      </c>
      <c r="F213" s="7"/>
      <c r="G213" s="8"/>
      <c r="H213" s="3"/>
      <c r="I213" s="51"/>
      <c r="J213" s="11"/>
      <c r="Q213" s="162">
        <f>B213</f>
        <v>2409.3985000000007</v>
      </c>
      <c r="R213" s="162">
        <v>0</v>
      </c>
      <c r="S213" s="162">
        <f>C213</f>
        <v>2414.4985000000006</v>
      </c>
      <c r="T213" s="162">
        <v>0</v>
      </c>
      <c r="X213" s="10">
        <f t="shared" si="20"/>
        <v>295.73421322850675</v>
      </c>
      <c r="Y213" s="10">
        <f t="shared" si="21"/>
        <v>444.05252448936363</v>
      </c>
      <c r="Z213" s="10">
        <f t="shared" si="22"/>
        <v>295.781331084659</v>
      </c>
      <c r="AA213" s="10">
        <f t="shared" si="23"/>
        <v>444.0330076342988</v>
      </c>
    </row>
    <row r="214" spans="1:27" ht="12.75">
      <c r="A214" s="49" t="s">
        <v>32</v>
      </c>
      <c r="B214" s="31">
        <f>C213+1.8-0.5*($M$3+$M$10)</f>
        <v>2415.798500000001</v>
      </c>
      <c r="C214" s="31">
        <f>B214+$L$10</f>
        <v>2424.698500000001</v>
      </c>
      <c r="D214" s="31">
        <v>18</v>
      </c>
      <c r="E214" s="81" t="s">
        <v>141</v>
      </c>
      <c r="F214" s="7"/>
      <c r="G214" s="8"/>
      <c r="H214" s="3"/>
      <c r="I214" s="51"/>
      <c r="J214" s="11"/>
      <c r="O214" s="1">
        <f>($S$291-(B214+C214)/2)/100</f>
        <v>7.835018299999997</v>
      </c>
      <c r="Q214" s="162">
        <f>B214</f>
        <v>2415.798500000001</v>
      </c>
      <c r="R214" s="162">
        <v>0</v>
      </c>
      <c r="S214" s="162">
        <f>C214</f>
        <v>2424.698500000001</v>
      </c>
      <c r="T214" s="162">
        <v>0</v>
      </c>
      <c r="X214" s="10">
        <f t="shared" si="20"/>
        <v>295.7933415185801</v>
      </c>
      <c r="Y214" s="10">
        <f t="shared" si="21"/>
        <v>444.0280327496745</v>
      </c>
      <c r="Z214" s="10">
        <f t="shared" si="22"/>
        <v>295.87556679696337</v>
      </c>
      <c r="AA214" s="10">
        <f t="shared" si="23"/>
        <v>443.9939739241692</v>
      </c>
    </row>
    <row r="215" spans="1:27" ht="12.75">
      <c r="A215" s="49" t="s">
        <v>31</v>
      </c>
      <c r="B215" s="31">
        <f>C214+1.8-0.5*($M$3+$M$10)</f>
        <v>2425.998500000001</v>
      </c>
      <c r="C215" s="31">
        <f>B215+$L$3</f>
        <v>2431.098500000001</v>
      </c>
      <c r="D215" s="31">
        <v>18</v>
      </c>
      <c r="E215" s="81" t="s">
        <v>142</v>
      </c>
      <c r="F215" s="7"/>
      <c r="G215" s="8"/>
      <c r="H215" s="3"/>
      <c r="I215" s="51"/>
      <c r="J215" s="11"/>
      <c r="P215" s="1">
        <f>($S$291-C215-250)/100</f>
        <v>5.226518299999993</v>
      </c>
      <c r="Q215" s="162">
        <f>B215</f>
        <v>2425.998500000001</v>
      </c>
      <c r="R215" s="162">
        <v>0</v>
      </c>
      <c r="S215" s="162">
        <f>C215</f>
        <v>2431.098500000001</v>
      </c>
      <c r="T215" s="162">
        <v>0</v>
      </c>
      <c r="X215" s="10">
        <f t="shared" si="20"/>
        <v>295.8875772308845</v>
      </c>
      <c r="Y215" s="10">
        <f t="shared" si="21"/>
        <v>443.98899903954486</v>
      </c>
      <c r="Z215" s="10">
        <f t="shared" si="22"/>
        <v>295.9346950870367</v>
      </c>
      <c r="AA215" s="10">
        <f t="shared" si="23"/>
        <v>443.96948218448</v>
      </c>
    </row>
    <row r="216" spans="1:27" ht="12.75">
      <c r="A216" s="58" t="s">
        <v>30</v>
      </c>
      <c r="B216" s="12">
        <f>C215+1</f>
        <v>2432.098500000001</v>
      </c>
      <c r="C216" s="12">
        <f>B216+4</f>
        <v>2436.098500000001</v>
      </c>
      <c r="D216" s="25">
        <v>3</v>
      </c>
      <c r="E216" s="81" t="s">
        <v>143</v>
      </c>
      <c r="F216" s="7"/>
      <c r="G216" s="8"/>
      <c r="H216" s="3"/>
      <c r="I216" s="51"/>
      <c r="J216" s="14"/>
      <c r="Q216" s="162">
        <f>B216</f>
        <v>2432.098500000001</v>
      </c>
      <c r="R216" s="162">
        <v>0</v>
      </c>
      <c r="S216" s="162">
        <f>C216</f>
        <v>2436.098500000001</v>
      </c>
      <c r="T216" s="162">
        <v>0</v>
      </c>
      <c r="X216" s="10">
        <f t="shared" si="20"/>
        <v>295.9439338823607</v>
      </c>
      <c r="Y216" s="10">
        <f t="shared" si="21"/>
        <v>443.9656553501536</v>
      </c>
      <c r="Z216" s="10">
        <f t="shared" si="22"/>
        <v>295.9808890636565</v>
      </c>
      <c r="AA216" s="10">
        <f t="shared" si="23"/>
        <v>443.9503480128478</v>
      </c>
    </row>
    <row r="217" spans="1:27" ht="12.75">
      <c r="A217" s="201" t="s">
        <v>14</v>
      </c>
      <c r="B217" s="210">
        <f>G217-I217/2-$L$15</f>
        <v>2436.777150000001</v>
      </c>
      <c r="C217" s="210">
        <f>G237+I237/2+$L$15</f>
        <v>2770.8388000000004</v>
      </c>
      <c r="D217" s="210"/>
      <c r="E217" s="208" t="s">
        <v>144</v>
      </c>
      <c r="F217" s="3">
        <v>38.2</v>
      </c>
      <c r="G217" s="8">
        <f>G212+F217</f>
        <v>2440.8485000000005</v>
      </c>
      <c r="H217" s="3">
        <v>129</v>
      </c>
      <c r="I217" s="50">
        <v>6.7427</v>
      </c>
      <c r="J217" s="11"/>
      <c r="N217" s="1">
        <f>($S$291-(B217+C217)/2)/100</f>
        <v>5.999423549999997</v>
      </c>
      <c r="O217" s="1"/>
      <c r="P217" s="1"/>
      <c r="Q217" s="162">
        <f>B217</f>
        <v>2436.777150000001</v>
      </c>
      <c r="R217" s="162">
        <v>0</v>
      </c>
      <c r="S217" s="162">
        <f>C217</f>
        <v>2770.8388000000004</v>
      </c>
      <c r="T217" s="162">
        <v>0</v>
      </c>
      <c r="X217" s="10">
        <f t="shared" si="20"/>
        <v>295.9871589721031</v>
      </c>
      <c r="Y217" s="10">
        <f t="shared" si="21"/>
        <v>443.94775093173223</v>
      </c>
      <c r="Z217" s="10">
        <f t="shared" si="22"/>
        <v>299.07348618203747</v>
      </c>
      <c r="AA217" s="10">
        <f t="shared" si="23"/>
        <v>442.66935234236695</v>
      </c>
    </row>
    <row r="218" spans="1:27" ht="12.75">
      <c r="A218" s="201"/>
      <c r="B218" s="211"/>
      <c r="C218" s="211"/>
      <c r="D218" s="211"/>
      <c r="E218" s="228"/>
      <c r="F218" s="3">
        <v>15.7044</v>
      </c>
      <c r="G218" s="8">
        <f>G217+F218</f>
        <v>2456.5529000000006</v>
      </c>
      <c r="H218" s="3">
        <v>130</v>
      </c>
      <c r="I218" s="51"/>
      <c r="J218" s="11"/>
      <c r="Q218" s="162"/>
      <c r="R218" s="162"/>
      <c r="S218" s="162"/>
      <c r="T218" s="162"/>
      <c r="X218" s="10">
        <f t="shared" si="20"/>
        <v>273.4742736331507</v>
      </c>
      <c r="Y218" s="10">
        <f t="shared" si="21"/>
        <v>453.272893375223</v>
      </c>
      <c r="Z218" s="10">
        <f t="shared" si="22"/>
        <v>273.4742736331507</v>
      </c>
      <c r="AA218" s="10">
        <f t="shared" si="23"/>
        <v>453.272893375223</v>
      </c>
    </row>
    <row r="219" spans="1:27" ht="12.75">
      <c r="A219" s="201"/>
      <c r="B219" s="211"/>
      <c r="C219" s="211"/>
      <c r="D219" s="211"/>
      <c r="E219" s="228"/>
      <c r="F219" s="3">
        <v>15.7554</v>
      </c>
      <c r="G219" s="8">
        <f aca="true" t="shared" si="24" ref="G219:G237">G218+F219</f>
        <v>2472.3083000000006</v>
      </c>
      <c r="H219" s="3">
        <v>131</v>
      </c>
      <c r="I219" s="51"/>
      <c r="J219" s="11"/>
      <c r="Q219" s="162"/>
      <c r="R219" s="162"/>
      <c r="S219" s="162"/>
      <c r="T219" s="162"/>
      <c r="X219" s="10">
        <f t="shared" si="20"/>
        <v>273.4742736331507</v>
      </c>
      <c r="Y219" s="10">
        <f t="shared" si="21"/>
        <v>453.272893375223</v>
      </c>
      <c r="Z219" s="10">
        <f t="shared" si="22"/>
        <v>273.4742736331507</v>
      </c>
      <c r="AA219" s="10">
        <f t="shared" si="23"/>
        <v>453.272893375223</v>
      </c>
    </row>
    <row r="220" spans="1:27" ht="12.75">
      <c r="A220" s="201"/>
      <c r="B220" s="211"/>
      <c r="C220" s="211"/>
      <c r="D220" s="211"/>
      <c r="E220" s="228"/>
      <c r="F220" s="3">
        <v>18</v>
      </c>
      <c r="G220" s="8">
        <f t="shared" si="24"/>
        <v>2490.3083000000006</v>
      </c>
      <c r="H220" s="3">
        <v>132</v>
      </c>
      <c r="I220" s="51"/>
      <c r="J220" s="11"/>
      <c r="Q220" s="162"/>
      <c r="R220" s="162"/>
      <c r="S220" s="162"/>
      <c r="T220" s="162"/>
      <c r="X220" s="10">
        <f t="shared" si="20"/>
        <v>273.4742736331507</v>
      </c>
      <c r="Y220" s="10">
        <f t="shared" si="21"/>
        <v>453.272893375223</v>
      </c>
      <c r="Z220" s="10">
        <f t="shared" si="22"/>
        <v>273.4742736331507</v>
      </c>
      <c r="AA220" s="10">
        <f t="shared" si="23"/>
        <v>453.272893375223</v>
      </c>
    </row>
    <row r="221" spans="1:27" ht="12.75">
      <c r="A221" s="201"/>
      <c r="B221" s="211"/>
      <c r="C221" s="211"/>
      <c r="D221" s="211"/>
      <c r="E221" s="228"/>
      <c r="F221" s="3">
        <v>15.7712</v>
      </c>
      <c r="G221" s="8">
        <f t="shared" si="24"/>
        <v>2506.0795000000007</v>
      </c>
      <c r="H221" s="3">
        <v>133</v>
      </c>
      <c r="I221" s="51"/>
      <c r="J221" s="11"/>
      <c r="Q221" s="162"/>
      <c r="R221" s="162"/>
      <c r="S221" s="162"/>
      <c r="T221" s="162"/>
      <c r="X221" s="10">
        <f t="shared" si="20"/>
        <v>273.4742736331507</v>
      </c>
      <c r="Y221" s="10">
        <f t="shared" si="21"/>
        <v>453.272893375223</v>
      </c>
      <c r="Z221" s="10">
        <f t="shared" si="22"/>
        <v>273.4742736331507</v>
      </c>
      <c r="AA221" s="10">
        <f t="shared" si="23"/>
        <v>453.272893375223</v>
      </c>
    </row>
    <row r="222" spans="1:27" ht="12.75">
      <c r="A222" s="201"/>
      <c r="B222" s="211"/>
      <c r="C222" s="211"/>
      <c r="D222" s="211"/>
      <c r="E222" s="228"/>
      <c r="F222" s="3">
        <v>15.8355</v>
      </c>
      <c r="G222" s="8">
        <f t="shared" si="24"/>
        <v>2521.915000000001</v>
      </c>
      <c r="H222" s="3">
        <v>134</v>
      </c>
      <c r="I222" s="51"/>
      <c r="J222" s="11"/>
      <c r="Q222" s="162"/>
      <c r="R222" s="162"/>
      <c r="S222" s="162"/>
      <c r="T222" s="162"/>
      <c r="X222" s="10">
        <f t="shared" si="20"/>
        <v>273.4742736331507</v>
      </c>
      <c r="Y222" s="10">
        <f t="shared" si="21"/>
        <v>453.272893375223</v>
      </c>
      <c r="Z222" s="10">
        <f t="shared" si="22"/>
        <v>273.4742736331507</v>
      </c>
      <c r="AA222" s="10">
        <f t="shared" si="23"/>
        <v>453.272893375223</v>
      </c>
    </row>
    <row r="223" spans="1:27" ht="12.75">
      <c r="A223" s="201"/>
      <c r="B223" s="211"/>
      <c r="C223" s="211"/>
      <c r="D223" s="211"/>
      <c r="E223" s="228"/>
      <c r="F223" s="3">
        <v>15.9004</v>
      </c>
      <c r="G223" s="8">
        <f t="shared" si="24"/>
        <v>2537.815400000001</v>
      </c>
      <c r="H223" s="3">
        <v>135</v>
      </c>
      <c r="I223" s="51"/>
      <c r="J223" s="11"/>
      <c r="Q223" s="162"/>
      <c r="R223" s="162"/>
      <c r="S223" s="162"/>
      <c r="T223" s="162"/>
      <c r="X223" s="10">
        <f t="shared" si="20"/>
        <v>273.4742736331507</v>
      </c>
      <c r="Y223" s="10">
        <f t="shared" si="21"/>
        <v>453.272893375223</v>
      </c>
      <c r="Z223" s="10">
        <f t="shared" si="22"/>
        <v>273.4742736331507</v>
      </c>
      <c r="AA223" s="10">
        <f t="shared" si="23"/>
        <v>453.272893375223</v>
      </c>
    </row>
    <row r="224" spans="1:27" ht="12.75">
      <c r="A224" s="201"/>
      <c r="B224" s="211"/>
      <c r="C224" s="211"/>
      <c r="D224" s="211"/>
      <c r="E224" s="228"/>
      <c r="F224" s="3">
        <v>15.9658</v>
      </c>
      <c r="G224" s="8">
        <f t="shared" si="24"/>
        <v>2553.781200000001</v>
      </c>
      <c r="H224" s="3">
        <v>136</v>
      </c>
      <c r="I224" s="51"/>
      <c r="J224" s="11"/>
      <c r="Q224" s="162"/>
      <c r="R224" s="162"/>
      <c r="S224" s="162"/>
      <c r="T224" s="162"/>
      <c r="X224" s="10">
        <f t="shared" si="20"/>
        <v>273.4742736331507</v>
      </c>
      <c r="Y224" s="10">
        <f t="shared" si="21"/>
        <v>453.272893375223</v>
      </c>
      <c r="Z224" s="10">
        <f t="shared" si="22"/>
        <v>273.4742736331507</v>
      </c>
      <c r="AA224" s="10">
        <f t="shared" si="23"/>
        <v>453.272893375223</v>
      </c>
    </row>
    <row r="225" spans="1:27" ht="12.75">
      <c r="A225" s="201"/>
      <c r="B225" s="211"/>
      <c r="C225" s="211"/>
      <c r="D225" s="211"/>
      <c r="E225" s="228"/>
      <c r="F225" s="3">
        <v>16.0319</v>
      </c>
      <c r="G225" s="8">
        <f t="shared" si="24"/>
        <v>2569.8131000000008</v>
      </c>
      <c r="H225" s="3">
        <v>137</v>
      </c>
      <c r="I225" s="51"/>
      <c r="J225" s="11"/>
      <c r="Q225" s="162"/>
      <c r="R225" s="162"/>
      <c r="S225" s="162"/>
      <c r="T225" s="162"/>
      <c r="X225" s="10">
        <f t="shared" si="20"/>
        <v>273.4742736331507</v>
      </c>
      <c r="Y225" s="10">
        <f t="shared" si="21"/>
        <v>453.272893375223</v>
      </c>
      <c r="Z225" s="10">
        <f t="shared" si="22"/>
        <v>273.4742736331507</v>
      </c>
      <c r="AA225" s="10">
        <f t="shared" si="23"/>
        <v>453.272893375223</v>
      </c>
    </row>
    <row r="226" spans="1:27" ht="12.75">
      <c r="A226" s="201"/>
      <c r="B226" s="211"/>
      <c r="C226" s="211"/>
      <c r="D226" s="211"/>
      <c r="E226" s="228"/>
      <c r="F226" s="3">
        <v>16.0983</v>
      </c>
      <c r="G226" s="8">
        <f t="shared" si="24"/>
        <v>2585.911400000001</v>
      </c>
      <c r="H226" s="3">
        <v>138</v>
      </c>
      <c r="I226" s="51"/>
      <c r="J226" s="11"/>
      <c r="Q226" s="162"/>
      <c r="R226" s="162"/>
      <c r="S226" s="162"/>
      <c r="T226" s="162"/>
      <c r="X226" s="10">
        <f t="shared" si="20"/>
        <v>273.4742736331507</v>
      </c>
      <c r="Y226" s="10">
        <f t="shared" si="21"/>
        <v>453.272893375223</v>
      </c>
      <c r="Z226" s="10">
        <f t="shared" si="22"/>
        <v>273.4742736331507</v>
      </c>
      <c r="AA226" s="10">
        <f t="shared" si="23"/>
        <v>453.272893375223</v>
      </c>
    </row>
    <row r="227" spans="1:27" ht="12.75">
      <c r="A227" s="201"/>
      <c r="B227" s="211"/>
      <c r="C227" s="211"/>
      <c r="D227" s="211"/>
      <c r="E227" s="228"/>
      <c r="F227" s="3">
        <v>16.1644</v>
      </c>
      <c r="G227" s="8">
        <f t="shared" si="24"/>
        <v>2602.075800000001</v>
      </c>
      <c r="H227" s="3">
        <v>139</v>
      </c>
      <c r="I227" s="51"/>
      <c r="J227" s="11"/>
      <c r="Q227" s="162"/>
      <c r="R227" s="162"/>
      <c r="S227" s="162"/>
      <c r="T227" s="162"/>
      <c r="X227" s="10">
        <f t="shared" si="20"/>
        <v>273.4742736331507</v>
      </c>
      <c r="Y227" s="10">
        <f t="shared" si="21"/>
        <v>453.272893375223</v>
      </c>
      <c r="Z227" s="10">
        <f t="shared" si="22"/>
        <v>273.4742736331507</v>
      </c>
      <c r="AA227" s="10">
        <f t="shared" si="23"/>
        <v>453.272893375223</v>
      </c>
    </row>
    <row r="228" spans="1:27" ht="12.75">
      <c r="A228" s="201"/>
      <c r="B228" s="211"/>
      <c r="C228" s="211"/>
      <c r="D228" s="211"/>
      <c r="E228" s="228"/>
      <c r="F228" s="3">
        <v>16.2299</v>
      </c>
      <c r="G228" s="8">
        <f t="shared" si="24"/>
        <v>2618.305700000001</v>
      </c>
      <c r="H228" s="3">
        <v>140</v>
      </c>
      <c r="I228" s="51"/>
      <c r="J228" s="11"/>
      <c r="Q228" s="162"/>
      <c r="R228" s="162"/>
      <c r="S228" s="162"/>
      <c r="T228" s="162"/>
      <c r="X228" s="10">
        <f t="shared" si="20"/>
        <v>273.4742736331507</v>
      </c>
      <c r="Y228" s="10">
        <f t="shared" si="21"/>
        <v>453.272893375223</v>
      </c>
      <c r="Z228" s="10">
        <f t="shared" si="22"/>
        <v>273.4742736331507</v>
      </c>
      <c r="AA228" s="10">
        <f t="shared" si="23"/>
        <v>453.272893375223</v>
      </c>
    </row>
    <row r="229" spans="1:27" ht="12.75">
      <c r="A229" s="201"/>
      <c r="B229" s="211"/>
      <c r="C229" s="211"/>
      <c r="D229" s="211"/>
      <c r="E229" s="228"/>
      <c r="F229" s="3">
        <v>16.2952</v>
      </c>
      <c r="G229" s="8">
        <f t="shared" si="24"/>
        <v>2634.600900000001</v>
      </c>
      <c r="H229" s="3">
        <v>141</v>
      </c>
      <c r="I229" s="51"/>
      <c r="J229" s="11"/>
      <c r="Q229" s="162"/>
      <c r="R229" s="162"/>
      <c r="S229" s="162"/>
      <c r="T229" s="162"/>
      <c r="X229" s="10">
        <f t="shared" si="20"/>
        <v>273.4742736331507</v>
      </c>
      <c r="Y229" s="10">
        <f t="shared" si="21"/>
        <v>453.272893375223</v>
      </c>
      <c r="Z229" s="10">
        <f t="shared" si="22"/>
        <v>273.4742736331507</v>
      </c>
      <c r="AA229" s="10">
        <f t="shared" si="23"/>
        <v>453.272893375223</v>
      </c>
    </row>
    <row r="230" spans="1:27" ht="12.75">
      <c r="A230" s="201"/>
      <c r="B230" s="211"/>
      <c r="C230" s="211"/>
      <c r="D230" s="211"/>
      <c r="E230" s="228"/>
      <c r="F230" s="3">
        <v>16.3599</v>
      </c>
      <c r="G230" s="8">
        <f t="shared" si="24"/>
        <v>2650.9608000000007</v>
      </c>
      <c r="H230" s="3">
        <v>142</v>
      </c>
      <c r="I230" s="51"/>
      <c r="J230" s="11"/>
      <c r="Q230" s="162"/>
      <c r="R230" s="162"/>
      <c r="S230" s="162"/>
      <c r="T230" s="162"/>
      <c r="X230" s="10">
        <f t="shared" si="20"/>
        <v>273.4742736331507</v>
      </c>
      <c r="Y230" s="10">
        <f t="shared" si="21"/>
        <v>453.272893375223</v>
      </c>
      <c r="Z230" s="10">
        <f t="shared" si="22"/>
        <v>273.4742736331507</v>
      </c>
      <c r="AA230" s="10">
        <f t="shared" si="23"/>
        <v>453.272893375223</v>
      </c>
    </row>
    <row r="231" spans="1:27" ht="12.75">
      <c r="A231" s="201"/>
      <c r="B231" s="211"/>
      <c r="C231" s="211"/>
      <c r="D231" s="211"/>
      <c r="E231" s="228"/>
      <c r="F231" s="3">
        <v>16.4244</v>
      </c>
      <c r="G231" s="8">
        <f t="shared" si="24"/>
        <v>2667.3852000000006</v>
      </c>
      <c r="H231" s="3">
        <v>143</v>
      </c>
      <c r="I231" s="51"/>
      <c r="J231" s="11"/>
      <c r="Q231" s="162"/>
      <c r="R231" s="162"/>
      <c r="S231" s="162"/>
      <c r="T231" s="162"/>
      <c r="X231" s="10">
        <f t="shared" si="20"/>
        <v>273.4742736331507</v>
      </c>
      <c r="Y231" s="10">
        <f t="shared" si="21"/>
        <v>453.272893375223</v>
      </c>
      <c r="Z231" s="10">
        <f t="shared" si="22"/>
        <v>273.4742736331507</v>
      </c>
      <c r="AA231" s="10">
        <f t="shared" si="23"/>
        <v>453.272893375223</v>
      </c>
    </row>
    <row r="232" spans="1:27" ht="12.75">
      <c r="A232" s="201"/>
      <c r="B232" s="211"/>
      <c r="C232" s="211"/>
      <c r="D232" s="211"/>
      <c r="E232" s="228"/>
      <c r="F232" s="3">
        <v>16.4886</v>
      </c>
      <c r="G232" s="8">
        <f t="shared" si="24"/>
        <v>2683.8738000000008</v>
      </c>
      <c r="H232" s="3">
        <v>144</v>
      </c>
      <c r="I232" s="51"/>
      <c r="J232" s="11"/>
      <c r="Q232" s="162"/>
      <c r="R232" s="162"/>
      <c r="S232" s="162"/>
      <c r="T232" s="162"/>
      <c r="X232" s="10">
        <f t="shared" si="20"/>
        <v>273.4742736331507</v>
      </c>
      <c r="Y232" s="10">
        <f t="shared" si="21"/>
        <v>453.272893375223</v>
      </c>
      <c r="Z232" s="10">
        <f t="shared" si="22"/>
        <v>273.4742736331507</v>
      </c>
      <c r="AA232" s="10">
        <f t="shared" si="23"/>
        <v>453.272893375223</v>
      </c>
    </row>
    <row r="233" spans="1:27" ht="12.75">
      <c r="A233" s="201"/>
      <c r="B233" s="211"/>
      <c r="C233" s="211"/>
      <c r="D233" s="211"/>
      <c r="E233" s="228"/>
      <c r="F233" s="3">
        <v>16.5513</v>
      </c>
      <c r="G233" s="8">
        <f t="shared" si="24"/>
        <v>2700.425100000001</v>
      </c>
      <c r="H233" s="3">
        <v>145</v>
      </c>
      <c r="I233" s="51"/>
      <c r="J233" s="11"/>
      <c r="Q233" s="162"/>
      <c r="R233" s="162"/>
      <c r="S233" s="162"/>
      <c r="T233" s="162"/>
      <c r="X233" s="10">
        <f t="shared" si="20"/>
        <v>273.4742736331507</v>
      </c>
      <c r="Y233" s="10">
        <f t="shared" si="21"/>
        <v>453.272893375223</v>
      </c>
      <c r="Z233" s="10">
        <f t="shared" si="22"/>
        <v>273.4742736331507</v>
      </c>
      <c r="AA233" s="10">
        <f t="shared" si="23"/>
        <v>453.272893375223</v>
      </c>
    </row>
    <row r="234" spans="1:27" ht="12.75">
      <c r="A234" s="201"/>
      <c r="B234" s="211"/>
      <c r="C234" s="211"/>
      <c r="D234" s="211"/>
      <c r="E234" s="228"/>
      <c r="F234" s="3">
        <v>16.6132</v>
      </c>
      <c r="G234" s="8">
        <f t="shared" si="24"/>
        <v>2717.0383000000006</v>
      </c>
      <c r="H234" s="3">
        <v>146</v>
      </c>
      <c r="I234" s="51"/>
      <c r="J234" s="11"/>
      <c r="Q234" s="162"/>
      <c r="R234" s="162"/>
      <c r="S234" s="162"/>
      <c r="T234" s="162"/>
      <c r="X234" s="10">
        <f t="shared" si="20"/>
        <v>273.4742736331507</v>
      </c>
      <c r="Y234" s="10">
        <f t="shared" si="21"/>
        <v>453.272893375223</v>
      </c>
      <c r="Z234" s="10">
        <f t="shared" si="22"/>
        <v>273.4742736331507</v>
      </c>
      <c r="AA234" s="10">
        <f t="shared" si="23"/>
        <v>453.272893375223</v>
      </c>
    </row>
    <row r="235" spans="1:27" ht="12.75">
      <c r="A235" s="201"/>
      <c r="B235" s="211"/>
      <c r="C235" s="211"/>
      <c r="D235" s="211"/>
      <c r="E235" s="228"/>
      <c r="F235" s="3">
        <v>16.6751</v>
      </c>
      <c r="G235" s="8">
        <f t="shared" si="24"/>
        <v>2733.7134000000005</v>
      </c>
      <c r="H235" s="3">
        <v>147</v>
      </c>
      <c r="I235" s="51"/>
      <c r="J235" s="11"/>
      <c r="Q235" s="162"/>
      <c r="R235" s="162"/>
      <c r="S235" s="162"/>
      <c r="T235" s="162"/>
      <c r="X235" s="10">
        <f t="shared" si="20"/>
        <v>273.4742736331507</v>
      </c>
      <c r="Y235" s="10">
        <f t="shared" si="21"/>
        <v>453.272893375223</v>
      </c>
      <c r="Z235" s="10">
        <f t="shared" si="22"/>
        <v>273.4742736331507</v>
      </c>
      <c r="AA235" s="10">
        <f t="shared" si="23"/>
        <v>453.272893375223</v>
      </c>
    </row>
    <row r="236" spans="1:27" ht="12.75">
      <c r="A236" s="201"/>
      <c r="B236" s="211"/>
      <c r="C236" s="211"/>
      <c r="D236" s="211"/>
      <c r="E236" s="228"/>
      <c r="F236" s="3">
        <v>16.7347</v>
      </c>
      <c r="G236" s="8">
        <f t="shared" si="24"/>
        <v>2750.4481000000005</v>
      </c>
      <c r="H236" s="3">
        <v>148</v>
      </c>
      <c r="I236" s="51"/>
      <c r="J236" s="11"/>
      <c r="Q236" s="162"/>
      <c r="R236" s="162"/>
      <c r="S236" s="162"/>
      <c r="T236" s="162"/>
      <c r="X236" s="10">
        <f t="shared" si="20"/>
        <v>273.4742736331507</v>
      </c>
      <c r="Y236" s="10">
        <f t="shared" si="21"/>
        <v>453.272893375223</v>
      </c>
      <c r="Z236" s="10">
        <f t="shared" si="22"/>
        <v>273.4742736331507</v>
      </c>
      <c r="AA236" s="10">
        <f t="shared" si="23"/>
        <v>453.272893375223</v>
      </c>
    </row>
    <row r="237" spans="1:27" ht="12.75">
      <c r="A237" s="201"/>
      <c r="B237" s="212"/>
      <c r="C237" s="212"/>
      <c r="D237" s="212"/>
      <c r="E237" s="209"/>
      <c r="F237" s="3">
        <v>16.79</v>
      </c>
      <c r="G237" s="8">
        <f t="shared" si="24"/>
        <v>2767.2381000000005</v>
      </c>
      <c r="H237" s="3">
        <v>149</v>
      </c>
      <c r="I237" s="50">
        <v>5.8014</v>
      </c>
      <c r="J237" s="11"/>
      <c r="Q237" s="162"/>
      <c r="R237" s="162"/>
      <c r="S237" s="162"/>
      <c r="T237" s="162"/>
      <c r="X237" s="10">
        <f t="shared" si="20"/>
        <v>273.4742736331507</v>
      </c>
      <c r="Y237" s="10">
        <f t="shared" si="21"/>
        <v>453.272893375223</v>
      </c>
      <c r="Z237" s="10">
        <f t="shared" si="22"/>
        <v>273.4742736331507</v>
      </c>
      <c r="AA237" s="10">
        <f t="shared" si="23"/>
        <v>453.272893375223</v>
      </c>
    </row>
    <row r="238" spans="1:27" ht="12.75">
      <c r="A238" s="49" t="s">
        <v>31</v>
      </c>
      <c r="B238" s="12">
        <f>G237+7-$M$3/2</f>
        <v>2773.9881000000005</v>
      </c>
      <c r="C238" s="12">
        <f>B238+$L$3</f>
        <v>2779.0881000000004</v>
      </c>
      <c r="D238" s="25">
        <v>18</v>
      </c>
      <c r="E238" s="81" t="s">
        <v>145</v>
      </c>
      <c r="F238" s="7"/>
      <c r="G238" s="8"/>
      <c r="H238" s="3"/>
      <c r="I238" s="6"/>
      <c r="J238" s="11" t="s">
        <v>178</v>
      </c>
      <c r="Q238" s="162">
        <f aca="true" t="shared" si="25" ref="Q238:Q244">B238</f>
        <v>2773.9881000000005</v>
      </c>
      <c r="R238" s="162">
        <v>0</v>
      </c>
      <c r="S238" s="162">
        <f aca="true" t="shared" si="26" ref="S238:S244">C238</f>
        <v>2779.0881000000004</v>
      </c>
      <c r="T238" s="162">
        <v>0</v>
      </c>
      <c r="X238" s="10">
        <f t="shared" si="20"/>
        <v>299.1025819201512</v>
      </c>
      <c r="Y238" s="10">
        <f t="shared" si="21"/>
        <v>442.6573004930227</v>
      </c>
      <c r="Z238" s="10">
        <f t="shared" si="22"/>
        <v>299.1496997763034</v>
      </c>
      <c r="AA238" s="10">
        <f t="shared" si="23"/>
        <v>442.63778363795785</v>
      </c>
    </row>
    <row r="239" spans="1:27" ht="12.75">
      <c r="A239" s="49" t="s">
        <v>32</v>
      </c>
      <c r="B239" s="31">
        <f>C238+7-($M$3+$M$10)/2</f>
        <v>2785.5881000000004</v>
      </c>
      <c r="C239" s="31">
        <f>B239+$L$10</f>
        <v>2794.4881000000005</v>
      </c>
      <c r="D239" s="31">
        <v>18</v>
      </c>
      <c r="E239" s="81" t="s">
        <v>146</v>
      </c>
      <c r="F239" s="7"/>
      <c r="G239" s="8"/>
      <c r="H239" s="3"/>
      <c r="I239" s="6"/>
      <c r="J239" s="11"/>
      <c r="N239" s="1"/>
      <c r="O239" s="1">
        <f>($S$291-(B239+C239)/2)/100</f>
        <v>4.137122299999996</v>
      </c>
      <c r="Q239" s="162">
        <f t="shared" si="25"/>
        <v>2785.5881000000004</v>
      </c>
      <c r="R239" s="162">
        <v>0</v>
      </c>
      <c r="S239" s="162">
        <f t="shared" si="26"/>
        <v>2794.4881000000005</v>
      </c>
      <c r="T239" s="162">
        <v>0</v>
      </c>
      <c r="X239" s="10">
        <f t="shared" si="20"/>
        <v>299.20975194590915</v>
      </c>
      <c r="Y239" s="10">
        <f t="shared" si="21"/>
        <v>442.61290921483607</v>
      </c>
      <c r="Z239" s="10">
        <f t="shared" si="22"/>
        <v>299.2919772242924</v>
      </c>
      <c r="AA239" s="10">
        <f t="shared" si="23"/>
        <v>442.5788503893308</v>
      </c>
    </row>
    <row r="240" spans="1:27" ht="12.75">
      <c r="A240" s="49" t="s">
        <v>31</v>
      </c>
      <c r="B240" s="31">
        <f>C239+7-($M$3+$M$10)/2</f>
        <v>2800.9881000000005</v>
      </c>
      <c r="C240" s="12">
        <f>B240+$L$3</f>
        <v>2806.0881000000004</v>
      </c>
      <c r="D240" s="31">
        <v>18</v>
      </c>
      <c r="E240" s="81" t="s">
        <v>147</v>
      </c>
      <c r="F240" s="7"/>
      <c r="G240" s="8"/>
      <c r="H240" s="3"/>
      <c r="I240" s="6"/>
      <c r="J240" s="11"/>
      <c r="Q240" s="162">
        <f t="shared" si="25"/>
        <v>2800.9881000000005</v>
      </c>
      <c r="R240" s="162">
        <v>0</v>
      </c>
      <c r="S240" s="162">
        <f t="shared" si="26"/>
        <v>2806.0881000000004</v>
      </c>
      <c r="T240" s="162">
        <v>0</v>
      </c>
      <c r="X240" s="10">
        <f t="shared" si="20"/>
        <v>299.35202939389814</v>
      </c>
      <c r="Y240" s="10">
        <f t="shared" si="21"/>
        <v>442.55397596620895</v>
      </c>
      <c r="Z240" s="10">
        <f t="shared" si="22"/>
        <v>299.3991472500503</v>
      </c>
      <c r="AA240" s="10">
        <f t="shared" si="23"/>
        <v>442.53445911114414</v>
      </c>
    </row>
    <row r="241" spans="1:27" ht="12.75">
      <c r="A241" s="53" t="s">
        <v>30</v>
      </c>
      <c r="B241" s="55">
        <f>C240-$M$3/2+11.2</f>
        <v>2817.0381</v>
      </c>
      <c r="C241" s="41">
        <f>B241+5.5</f>
        <v>2822.5381</v>
      </c>
      <c r="D241" s="55">
        <v>5</v>
      </c>
      <c r="E241" s="81" t="s">
        <v>149</v>
      </c>
      <c r="F241" s="7"/>
      <c r="G241" s="8"/>
      <c r="H241" s="3"/>
      <c r="I241" s="6"/>
      <c r="J241" s="11"/>
      <c r="Q241" s="162"/>
      <c r="R241" s="162"/>
      <c r="S241" s="162"/>
      <c r="T241" s="162"/>
      <c r="X241" s="10"/>
      <c r="Y241" s="10"/>
      <c r="Z241" s="10"/>
      <c r="AA241" s="10"/>
    </row>
    <row r="242" spans="1:27" ht="12.75">
      <c r="A242" s="96" t="s">
        <v>179</v>
      </c>
      <c r="B242" s="55">
        <f>C241</f>
        <v>2822.5381</v>
      </c>
      <c r="C242" s="41">
        <f>B242+7.3</f>
        <v>2829.8381000000004</v>
      </c>
      <c r="D242" s="55"/>
      <c r="E242" s="81" t="s">
        <v>217</v>
      </c>
      <c r="F242" s="7"/>
      <c r="G242" s="8"/>
      <c r="H242" s="3"/>
      <c r="I242" s="6"/>
      <c r="J242" s="11"/>
      <c r="Q242" s="162"/>
      <c r="R242" s="162"/>
      <c r="S242" s="162"/>
      <c r="T242" s="162"/>
      <c r="X242" s="10"/>
      <c r="Y242" s="10"/>
      <c r="Z242" s="10"/>
      <c r="AA242" s="10"/>
    </row>
    <row r="243" spans="1:27" ht="12.75">
      <c r="A243" s="53" t="s">
        <v>224</v>
      </c>
      <c r="B243" s="55">
        <f>C242</f>
        <v>2829.8381000000004</v>
      </c>
      <c r="C243" s="41">
        <f>B243+10</f>
        <v>2839.8381000000004</v>
      </c>
      <c r="D243" s="55">
        <v>3.5</v>
      </c>
      <c r="E243" s="81" t="s">
        <v>148</v>
      </c>
      <c r="F243" s="7"/>
      <c r="G243" s="8"/>
      <c r="H243" s="3"/>
      <c r="I243" s="6"/>
      <c r="J243" s="11"/>
      <c r="Q243" s="162"/>
      <c r="R243" s="162"/>
      <c r="S243" s="162"/>
      <c r="T243" s="162"/>
      <c r="X243" s="10"/>
      <c r="Y243" s="10"/>
      <c r="Z243" s="10"/>
      <c r="AA243" s="10"/>
    </row>
    <row r="244" spans="1:27" ht="12.75">
      <c r="A244" s="204" t="s">
        <v>29</v>
      </c>
      <c r="B244" s="210">
        <f>C243</f>
        <v>2839.8381000000004</v>
      </c>
      <c r="C244" s="210">
        <f>B244+10</f>
        <v>2849.8381000000004</v>
      </c>
      <c r="D244" s="210">
        <v>10</v>
      </c>
      <c r="E244" s="83" t="s">
        <v>151</v>
      </c>
      <c r="F244" s="3"/>
      <c r="G244" s="3"/>
      <c r="H244" s="3"/>
      <c r="Q244" s="162">
        <f t="shared" si="25"/>
        <v>2839.8381000000004</v>
      </c>
      <c r="R244" s="162">
        <v>0</v>
      </c>
      <c r="S244" s="162">
        <f t="shared" si="26"/>
        <v>2849.8381000000004</v>
      </c>
      <c r="T244" s="162">
        <v>0</v>
      </c>
      <c r="X244" s="10">
        <f aca="true" t="shared" si="27" ref="X244:X251">$X$302+0.01*Q244*COS($Y$307)+0.01*R244*SIN($Y$307)</f>
        <v>299.71095659223397</v>
      </c>
      <c r="Y244" s="10">
        <f aca="true" t="shared" si="28" ref="Y244:Y251">$Y$302-0.01*Q244*SIN($Y$307)+0.01*R244*COS($Y$307)</f>
        <v>442.405303452627</v>
      </c>
      <c r="Z244" s="10">
        <f aca="true" t="shared" si="29" ref="Z244:Z251">$X$302+0.01*S244*COS($Y$307)+0.01*T244*SIN($Y$307)</f>
        <v>299.8033445454736</v>
      </c>
      <c r="AA244" s="10">
        <f aca="true" t="shared" si="30" ref="AA244:AA251">$Y$302-0.01*S244*SIN($Y$307)+0.01*T244*COS($Y$307)</f>
        <v>442.36703510936263</v>
      </c>
    </row>
    <row r="245" spans="1:27" ht="12.75">
      <c r="A245" s="205"/>
      <c r="B245" s="212"/>
      <c r="C245" s="212"/>
      <c r="D245" s="212"/>
      <c r="E245" s="83" t="s">
        <v>150</v>
      </c>
      <c r="F245" s="3"/>
      <c r="G245" s="3"/>
      <c r="H245" s="3"/>
      <c r="Q245" s="162"/>
      <c r="R245" s="162"/>
      <c r="S245" s="162"/>
      <c r="T245" s="162"/>
      <c r="X245" s="10">
        <f t="shared" si="27"/>
        <v>273.4742736331507</v>
      </c>
      <c r="Y245" s="10">
        <f t="shared" si="28"/>
        <v>453.272893375223</v>
      </c>
      <c r="Z245" s="10">
        <f t="shared" si="29"/>
        <v>273.4742736331507</v>
      </c>
      <c r="AA245" s="10">
        <f t="shared" si="30"/>
        <v>453.272893375223</v>
      </c>
    </row>
    <row r="246" spans="1:27" ht="12.75">
      <c r="A246" s="176" t="s">
        <v>58</v>
      </c>
      <c r="B246" s="177">
        <f>C244</f>
        <v>2849.8381000000004</v>
      </c>
      <c r="C246" s="177">
        <f>B246+7.2</f>
        <v>2857.0381</v>
      </c>
      <c r="D246" s="32"/>
      <c r="E246" s="83" t="s">
        <v>126</v>
      </c>
      <c r="F246" s="3"/>
      <c r="G246" s="3"/>
      <c r="H246" s="3"/>
      <c r="Q246" s="162">
        <f>B246</f>
        <v>2849.8381000000004</v>
      </c>
      <c r="R246" s="162">
        <v>0</v>
      </c>
      <c r="S246" s="162">
        <f>C246</f>
        <v>2857.0381</v>
      </c>
      <c r="T246" s="162">
        <v>0</v>
      </c>
      <c r="X246" s="10">
        <f t="shared" si="27"/>
        <v>299.8033445454736</v>
      </c>
      <c r="Y246" s="10">
        <f t="shared" si="28"/>
        <v>442.36703510936263</v>
      </c>
      <c r="Z246" s="10">
        <f t="shared" si="29"/>
        <v>299.86986387180605</v>
      </c>
      <c r="AA246" s="10">
        <f t="shared" si="30"/>
        <v>442.3394819022123</v>
      </c>
    </row>
    <row r="247" spans="1:27" ht="12.75">
      <c r="A247" s="175" t="s">
        <v>57</v>
      </c>
      <c r="B247" s="177">
        <f>C246+23</f>
        <v>2880.0381</v>
      </c>
      <c r="C247" s="177">
        <f>B247+3.5</f>
        <v>2883.5381</v>
      </c>
      <c r="D247" s="32"/>
      <c r="E247" s="37" t="s">
        <v>153</v>
      </c>
      <c r="F247" s="3"/>
      <c r="G247" s="3"/>
      <c r="H247" s="3"/>
      <c r="Q247" s="162">
        <f>B247</f>
        <v>2880.0381</v>
      </c>
      <c r="R247" s="162">
        <v>0</v>
      </c>
      <c r="S247" s="162">
        <f>C247</f>
        <v>2883.5381</v>
      </c>
      <c r="T247" s="162">
        <v>0</v>
      </c>
      <c r="X247" s="10">
        <f t="shared" si="27"/>
        <v>300.08235616425713</v>
      </c>
      <c r="Y247" s="10">
        <f t="shared" si="28"/>
        <v>442.2514647127043</v>
      </c>
      <c r="Z247" s="10">
        <f t="shared" si="29"/>
        <v>300.114691947891</v>
      </c>
      <c r="AA247" s="10">
        <f t="shared" si="30"/>
        <v>442.2380707925618</v>
      </c>
    </row>
    <row r="248" spans="1:27" ht="12.75">
      <c r="A248" s="103" t="s">
        <v>209</v>
      </c>
      <c r="B248" s="170">
        <f>C247</f>
        <v>2883.5381</v>
      </c>
      <c r="C248" s="170">
        <f>B248+15</f>
        <v>2898.5381</v>
      </c>
      <c r="D248" s="12"/>
      <c r="E248" s="37" t="s">
        <v>218</v>
      </c>
      <c r="F248" s="3"/>
      <c r="G248" s="3"/>
      <c r="H248" s="3"/>
      <c r="Q248" s="162">
        <f>B248</f>
        <v>2883.5381</v>
      </c>
      <c r="R248" s="162">
        <v>0</v>
      </c>
      <c r="S248" s="162">
        <f>C248</f>
        <v>2898.5381</v>
      </c>
      <c r="T248" s="162">
        <v>0</v>
      </c>
      <c r="X248" s="10">
        <f t="shared" si="27"/>
        <v>300.114691947891</v>
      </c>
      <c r="Y248" s="10">
        <f t="shared" si="28"/>
        <v>442.2380707925618</v>
      </c>
      <c r="Z248" s="10">
        <f t="shared" si="29"/>
        <v>300.2532738777504</v>
      </c>
      <c r="AA248" s="10">
        <f t="shared" si="30"/>
        <v>442.1806682776653</v>
      </c>
    </row>
    <row r="249" spans="1:27" ht="12.75">
      <c r="A249" s="192" t="s">
        <v>34</v>
      </c>
      <c r="B249" s="193"/>
      <c r="C249" s="193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4"/>
      <c r="X249" s="10">
        <f t="shared" si="27"/>
        <v>273.4742736331507</v>
      </c>
      <c r="Y249" s="10">
        <f t="shared" si="28"/>
        <v>453.272893375223</v>
      </c>
      <c r="Z249" s="10">
        <f t="shared" si="29"/>
        <v>273.4742736331507</v>
      </c>
      <c r="AA249" s="10">
        <f t="shared" si="30"/>
        <v>453.272893375223</v>
      </c>
    </row>
    <row r="250" spans="1:27" ht="12.75">
      <c r="A250" s="5" t="s">
        <v>180</v>
      </c>
      <c r="B250" s="12">
        <f>Q277+100</f>
        <v>3023.4381000000003</v>
      </c>
      <c r="C250" s="12">
        <f>B250+11.5</f>
        <v>3034.9381000000003</v>
      </c>
      <c r="D250" s="39">
        <v>5</v>
      </c>
      <c r="E250" s="39" t="s">
        <v>219</v>
      </c>
      <c r="F250" s="5"/>
      <c r="G250" s="5"/>
      <c r="H250" s="5"/>
      <c r="I250" s="99"/>
      <c r="J250" t="s">
        <v>183</v>
      </c>
      <c r="Q250" s="162">
        <f>B250</f>
        <v>3023.4381000000003</v>
      </c>
      <c r="R250" s="162">
        <v>0</v>
      </c>
      <c r="S250" s="162">
        <f>C250</f>
        <v>3034.9381000000003</v>
      </c>
      <c r="T250" s="162">
        <v>0</v>
      </c>
      <c r="X250" s="10">
        <f t="shared" si="27"/>
        <v>301.407199413713</v>
      </c>
      <c r="Y250" s="10">
        <f t="shared" si="28"/>
        <v>441.7026966702937</v>
      </c>
      <c r="Z250" s="10">
        <f t="shared" si="29"/>
        <v>301.51344555993853</v>
      </c>
      <c r="AA250" s="10">
        <f t="shared" si="30"/>
        <v>441.65868807553966</v>
      </c>
    </row>
    <row r="251" spans="1:27" ht="12.75">
      <c r="A251" s="204" t="s">
        <v>29</v>
      </c>
      <c r="B251" s="210">
        <f>C250</f>
        <v>3034.9381000000003</v>
      </c>
      <c r="C251" s="210">
        <f>B251+10</f>
        <v>3044.9381000000003</v>
      </c>
      <c r="D251" s="210">
        <v>10</v>
      </c>
      <c r="E251" s="19" t="s">
        <v>154</v>
      </c>
      <c r="F251" s="18"/>
      <c r="G251" s="3"/>
      <c r="H251" s="3"/>
      <c r="I251" s="98"/>
      <c r="Q251" s="162">
        <f aca="true" t="shared" si="31" ref="Q251:Q273">B251</f>
        <v>3034.9381000000003</v>
      </c>
      <c r="R251" s="162">
        <v>0</v>
      </c>
      <c r="S251" s="162">
        <f aca="true" t="shared" si="32" ref="S251:S273">C251</f>
        <v>3044.9381000000003</v>
      </c>
      <c r="T251" s="162">
        <v>0</v>
      </c>
      <c r="X251" s="10">
        <f t="shared" si="27"/>
        <v>301.51344555993853</v>
      </c>
      <c r="Y251" s="10">
        <f t="shared" si="28"/>
        <v>441.65868807553966</v>
      </c>
      <c r="Z251" s="10">
        <f t="shared" si="29"/>
        <v>301.60583351317814</v>
      </c>
      <c r="AA251" s="10">
        <f t="shared" si="30"/>
        <v>441.6204197322753</v>
      </c>
    </row>
    <row r="252" spans="1:27" ht="12.75">
      <c r="A252" s="205"/>
      <c r="B252" s="212"/>
      <c r="C252" s="212"/>
      <c r="D252" s="212"/>
      <c r="E252" s="19" t="s">
        <v>155</v>
      </c>
      <c r="F252" s="18"/>
      <c r="G252" s="3"/>
      <c r="H252" s="3"/>
      <c r="I252" s="98"/>
      <c r="Q252" s="162"/>
      <c r="R252" s="162"/>
      <c r="S252" s="162"/>
      <c r="T252" s="162"/>
      <c r="X252" s="10"/>
      <c r="Y252" s="10"/>
      <c r="Z252" s="10"/>
      <c r="AA252" s="10"/>
    </row>
    <row r="253" spans="1:27" ht="12.75">
      <c r="A253" s="56" t="s">
        <v>30</v>
      </c>
      <c r="B253" s="12">
        <f>C251</f>
        <v>3044.9381000000003</v>
      </c>
      <c r="C253" s="12">
        <f>B253+5.5</f>
        <v>3050.4381000000003</v>
      </c>
      <c r="D253" s="12">
        <v>5</v>
      </c>
      <c r="E253" s="19" t="s">
        <v>156</v>
      </c>
      <c r="F253" s="18"/>
      <c r="G253" s="3"/>
      <c r="H253" s="3"/>
      <c r="I253" s="98"/>
      <c r="Q253" s="162">
        <f t="shared" si="31"/>
        <v>3044.9381000000003</v>
      </c>
      <c r="R253" s="162">
        <v>0</v>
      </c>
      <c r="S253" s="162">
        <f t="shared" si="32"/>
        <v>3050.4381000000003</v>
      </c>
      <c r="T253" s="162">
        <v>0</v>
      </c>
      <c r="X253" s="10">
        <f aca="true" t="shared" si="33" ref="X253:X260">$X$302+0.01*Q253*COS($Y$307)+0.01*R253*SIN($Y$307)</f>
        <v>301.60583351317814</v>
      </c>
      <c r="Y253" s="10">
        <f aca="true" t="shared" si="34" ref="Y253:Y260">$Y$302-0.01*Q253*SIN($Y$307)+0.01*R253*COS($Y$307)</f>
        <v>441.6204197322753</v>
      </c>
      <c r="Z253" s="10">
        <f aca="true" t="shared" si="35" ref="Z253:Z260">$X$302+0.01*S253*COS($Y$307)+0.01*T253*SIN($Y$307)</f>
        <v>301.65664688745994</v>
      </c>
      <c r="AA253" s="10">
        <f aca="true" t="shared" si="36" ref="AA253:AA260">$Y$302-0.01*S253*SIN($Y$307)+0.01*T253*COS($Y$307)</f>
        <v>441.5993721434799</v>
      </c>
    </row>
    <row r="254" spans="1:27" ht="12.75">
      <c r="A254" s="56" t="s">
        <v>30</v>
      </c>
      <c r="B254" s="12">
        <f>C254-5.5</f>
        <v>3154.5503300000005</v>
      </c>
      <c r="C254" s="12">
        <f>B255</f>
        <v>3160.0503300000005</v>
      </c>
      <c r="D254" s="12">
        <v>5</v>
      </c>
      <c r="E254" s="19" t="s">
        <v>157</v>
      </c>
      <c r="F254" s="18"/>
      <c r="G254" s="3"/>
      <c r="H254" s="3"/>
      <c r="I254" s="98"/>
      <c r="Q254" s="162">
        <f t="shared" si="31"/>
        <v>3154.5503300000005</v>
      </c>
      <c r="R254" s="162">
        <v>0</v>
      </c>
      <c r="S254" s="162">
        <f t="shared" si="32"/>
        <v>3160.0503300000005</v>
      </c>
      <c r="T254" s="162">
        <v>0</v>
      </c>
      <c r="X254" s="10">
        <f t="shared" si="33"/>
        <v>302.618518471151</v>
      </c>
      <c r="Y254" s="10">
        <f t="shared" si="34"/>
        <v>441.2009518879143</v>
      </c>
      <c r="Z254" s="10">
        <f t="shared" si="35"/>
        <v>302.66933184543274</v>
      </c>
      <c r="AA254" s="10">
        <f t="shared" si="36"/>
        <v>441.1799042991189</v>
      </c>
    </row>
    <row r="255" spans="1:27" ht="12.75">
      <c r="A255" s="61" t="s">
        <v>58</v>
      </c>
      <c r="B255" s="12">
        <f>C255-7.2</f>
        <v>3160.0503300000005</v>
      </c>
      <c r="C255" s="12">
        <f>B256</f>
        <v>3167.2503300000003</v>
      </c>
      <c r="D255" s="12"/>
      <c r="E255" s="19" t="s">
        <v>211</v>
      </c>
      <c r="F255" s="18"/>
      <c r="G255" s="3"/>
      <c r="H255" s="3"/>
      <c r="I255" s="98"/>
      <c r="Q255" s="162">
        <f t="shared" si="31"/>
        <v>3160.0503300000005</v>
      </c>
      <c r="R255" s="162">
        <v>0</v>
      </c>
      <c r="S255" s="162">
        <f t="shared" si="32"/>
        <v>3167.2503300000003</v>
      </c>
      <c r="T255" s="162">
        <v>0</v>
      </c>
      <c r="X255" s="10">
        <f t="shared" si="33"/>
        <v>302.66933184543274</v>
      </c>
      <c r="Y255" s="10">
        <f t="shared" si="34"/>
        <v>441.1799042991189</v>
      </c>
      <c r="Z255" s="10">
        <f t="shared" si="35"/>
        <v>302.73585117176526</v>
      </c>
      <c r="AA255" s="10">
        <f t="shared" si="36"/>
        <v>441.15235109196857</v>
      </c>
    </row>
    <row r="256" spans="1:27" ht="12.75">
      <c r="A256" s="15" t="s">
        <v>180</v>
      </c>
      <c r="B256" s="12">
        <f>B257-11.5</f>
        <v>3167.2503300000003</v>
      </c>
      <c r="C256" s="12">
        <f>B257</f>
        <v>3178.7503300000003</v>
      </c>
      <c r="D256" s="12">
        <v>5</v>
      </c>
      <c r="E256" s="203" t="s">
        <v>242</v>
      </c>
      <c r="F256" s="18"/>
      <c r="G256" s="3"/>
      <c r="H256" s="3"/>
      <c r="I256" s="98"/>
      <c r="Q256" s="162">
        <f t="shared" si="31"/>
        <v>3167.2503300000003</v>
      </c>
      <c r="R256" s="162">
        <v>0</v>
      </c>
      <c r="S256" s="162">
        <f t="shared" si="32"/>
        <v>3178.7503300000003</v>
      </c>
      <c r="T256" s="162">
        <v>0</v>
      </c>
      <c r="X256" s="10">
        <f t="shared" si="33"/>
        <v>302.73585117176526</v>
      </c>
      <c r="Y256" s="10">
        <f t="shared" si="34"/>
        <v>441.15235109196857</v>
      </c>
      <c r="Z256" s="10">
        <f t="shared" si="35"/>
        <v>302.8420973179908</v>
      </c>
      <c r="AA256" s="10">
        <f t="shared" si="36"/>
        <v>441.1083424972146</v>
      </c>
    </row>
    <row r="257" spans="1:27" ht="12.75">
      <c r="A257" s="56" t="s">
        <v>33</v>
      </c>
      <c r="B257" s="97">
        <f>S291-25</f>
        <v>3178.7503300000003</v>
      </c>
      <c r="C257" s="12">
        <f>B257+50</f>
        <v>3228.7503300000003</v>
      </c>
      <c r="D257" s="12">
        <v>5</v>
      </c>
      <c r="E257" s="203" t="s">
        <v>158</v>
      </c>
      <c r="F257" s="195"/>
      <c r="G257" s="196"/>
      <c r="H257" s="197"/>
      <c r="I257" s="98"/>
      <c r="J257" s="78" t="s">
        <v>181</v>
      </c>
      <c r="Q257" s="162">
        <f t="shared" si="31"/>
        <v>3178.7503300000003</v>
      </c>
      <c r="R257" s="162">
        <v>0</v>
      </c>
      <c r="S257" s="162">
        <f t="shared" si="32"/>
        <v>3228.7503300000003</v>
      </c>
      <c r="T257" s="162">
        <v>0</v>
      </c>
      <c r="X257" s="10">
        <f t="shared" si="33"/>
        <v>302.8420973179908</v>
      </c>
      <c r="Y257" s="10">
        <f t="shared" si="34"/>
        <v>441.1083424972146</v>
      </c>
      <c r="Z257" s="10">
        <f t="shared" si="35"/>
        <v>303.3040370841888</v>
      </c>
      <c r="AA257" s="10">
        <f t="shared" si="36"/>
        <v>440.91700078089286</v>
      </c>
    </row>
    <row r="258" spans="1:27" ht="12.75">
      <c r="A258" s="183" t="s">
        <v>58</v>
      </c>
      <c r="B258" s="182">
        <f>C257</f>
        <v>3228.7503300000003</v>
      </c>
      <c r="C258" s="41">
        <f>B258+7.2</f>
        <v>3235.95033</v>
      </c>
      <c r="D258" s="12">
        <v>5</v>
      </c>
      <c r="E258" s="203" t="s">
        <v>243</v>
      </c>
      <c r="F258" s="184"/>
      <c r="G258" s="184"/>
      <c r="H258" s="184"/>
      <c r="I258" s="98"/>
      <c r="J258" s="78"/>
      <c r="Q258" s="162"/>
      <c r="R258" s="162"/>
      <c r="S258" s="162"/>
      <c r="T258" s="162"/>
      <c r="X258" s="10"/>
      <c r="Y258" s="10"/>
      <c r="Z258" s="10"/>
      <c r="AA258" s="10"/>
    </row>
    <row r="259" spans="1:27" ht="12.75">
      <c r="A259" s="34" t="s">
        <v>180</v>
      </c>
      <c r="B259" s="41">
        <f>C258</f>
        <v>3235.95033</v>
      </c>
      <c r="C259" s="41">
        <f>B259+11.5</f>
        <v>3247.45033</v>
      </c>
      <c r="D259" s="12">
        <v>5</v>
      </c>
      <c r="E259" s="23" t="s">
        <v>244</v>
      </c>
      <c r="F259" s="18"/>
      <c r="G259" s="3"/>
      <c r="H259" s="3"/>
      <c r="I259" s="98"/>
      <c r="J259" s="77"/>
      <c r="Q259" s="162">
        <f t="shared" si="31"/>
        <v>3235.95033</v>
      </c>
      <c r="R259" s="162">
        <v>0</v>
      </c>
      <c r="S259" s="162">
        <f t="shared" si="32"/>
        <v>3247.45033</v>
      </c>
      <c r="T259" s="162">
        <v>0</v>
      </c>
      <c r="X259" s="10">
        <f t="shared" si="33"/>
        <v>303.3705564105213</v>
      </c>
      <c r="Y259" s="10">
        <f t="shared" si="34"/>
        <v>440.88944757374253</v>
      </c>
      <c r="Z259" s="10">
        <f t="shared" si="35"/>
        <v>303.47680255674686</v>
      </c>
      <c r="AA259" s="10">
        <f t="shared" si="36"/>
        <v>440.84543897898857</v>
      </c>
    </row>
    <row r="260" spans="1:27" ht="12.75">
      <c r="A260" s="57" t="s">
        <v>18</v>
      </c>
      <c r="B260" s="210">
        <f>C259</f>
        <v>3247.45033</v>
      </c>
      <c r="C260" s="210">
        <f>B260+47</f>
        <v>3294.45033</v>
      </c>
      <c r="D260" s="210">
        <v>20</v>
      </c>
      <c r="E260" s="37" t="s">
        <v>245</v>
      </c>
      <c r="F260" s="3"/>
      <c r="G260" s="3"/>
      <c r="H260" s="3"/>
      <c r="I260" s="98"/>
      <c r="J260" s="77"/>
      <c r="Q260" s="162">
        <f t="shared" si="31"/>
        <v>3247.45033</v>
      </c>
      <c r="R260" s="162">
        <v>0</v>
      </c>
      <c r="S260" s="162">
        <f t="shared" si="32"/>
        <v>3294.45033</v>
      </c>
      <c r="T260" s="162">
        <v>0</v>
      </c>
      <c r="X260" s="10">
        <f t="shared" si="33"/>
        <v>303.47680255674686</v>
      </c>
      <c r="Y260" s="10">
        <f t="shared" si="34"/>
        <v>440.84543897898857</v>
      </c>
      <c r="Z260" s="10">
        <f t="shared" si="35"/>
        <v>303.911025936973</v>
      </c>
      <c r="AA260" s="10">
        <f t="shared" si="36"/>
        <v>440.66557776564616</v>
      </c>
    </row>
    <row r="261" spans="1:27" ht="12.75">
      <c r="A261" s="52" t="s">
        <v>21</v>
      </c>
      <c r="B261" s="211"/>
      <c r="C261" s="211"/>
      <c r="D261" s="211"/>
      <c r="E261" s="37" t="s">
        <v>246</v>
      </c>
      <c r="F261" s="3"/>
      <c r="G261" s="3"/>
      <c r="H261" s="3"/>
      <c r="I261" s="98"/>
      <c r="J261" s="77"/>
      <c r="Q261" s="162"/>
      <c r="R261" s="162"/>
      <c r="S261" s="162"/>
      <c r="T261" s="162"/>
      <c r="X261" s="10"/>
      <c r="Y261" s="10"/>
      <c r="Z261" s="10"/>
      <c r="AA261" s="10"/>
    </row>
    <row r="262" spans="1:27" ht="12.75">
      <c r="A262" s="221" t="s">
        <v>40</v>
      </c>
      <c r="B262" s="211"/>
      <c r="C262" s="211"/>
      <c r="D262" s="211"/>
      <c r="E262" s="37" t="s">
        <v>247</v>
      </c>
      <c r="F262" s="3"/>
      <c r="G262" s="3"/>
      <c r="H262" s="3"/>
      <c r="I262" s="98"/>
      <c r="J262" s="77"/>
      <c r="Q262" s="162"/>
      <c r="R262" s="162"/>
      <c r="S262" s="162"/>
      <c r="T262" s="162"/>
      <c r="X262" s="10"/>
      <c r="Y262" s="10"/>
      <c r="Z262" s="10"/>
      <c r="AA262" s="10"/>
    </row>
    <row r="263" spans="1:27" ht="12.75">
      <c r="A263" s="222"/>
      <c r="B263" s="212"/>
      <c r="C263" s="212"/>
      <c r="D263" s="212"/>
      <c r="E263" s="37" t="s">
        <v>248</v>
      </c>
      <c r="F263" s="3"/>
      <c r="G263" s="3"/>
      <c r="H263" s="3"/>
      <c r="I263" s="98"/>
      <c r="J263" s="77"/>
      <c r="Q263" s="162"/>
      <c r="R263" s="162"/>
      <c r="S263" s="162"/>
      <c r="T263" s="162"/>
      <c r="X263" s="10"/>
      <c r="Y263" s="10"/>
      <c r="Z263" s="10"/>
      <c r="AA263" s="10"/>
    </row>
    <row r="264" spans="1:27" ht="12.75">
      <c r="A264" s="34" t="s">
        <v>180</v>
      </c>
      <c r="B264" s="42">
        <f>C260</f>
        <v>3294.45033</v>
      </c>
      <c r="C264" s="42">
        <f>B264+11.5</f>
        <v>3305.95033</v>
      </c>
      <c r="D264" s="42">
        <v>5</v>
      </c>
      <c r="E264" s="37" t="s">
        <v>249</v>
      </c>
      <c r="F264" s="3"/>
      <c r="G264" s="3"/>
      <c r="H264" s="3"/>
      <c r="I264" s="98"/>
      <c r="J264" s="77"/>
      <c r="Q264" s="162">
        <f t="shared" si="31"/>
        <v>3294.45033</v>
      </c>
      <c r="R264" s="162">
        <v>0</v>
      </c>
      <c r="S264" s="162">
        <f t="shared" si="32"/>
        <v>3305.95033</v>
      </c>
      <c r="T264" s="162">
        <v>0</v>
      </c>
      <c r="X264" s="10">
        <f>$X$302+0.01*Q264*COS($Y$307)+0.01*R264*SIN($Y$307)</f>
        <v>303.911025936973</v>
      </c>
      <c r="Y264" s="10">
        <f>$Y$302-0.01*Q264*SIN($Y$307)+0.01*R264*COS($Y$307)</f>
        <v>440.66557776564616</v>
      </c>
      <c r="Z264" s="10">
        <f>$X$302+0.01*S264*COS($Y$307)+0.01*T264*SIN($Y$307)</f>
        <v>304.0172720831985</v>
      </c>
      <c r="AA264" s="10">
        <f>$Y$302-0.01*S264*SIN($Y$307)+0.01*T264*COS($Y$307)</f>
        <v>440.62156917089214</v>
      </c>
    </row>
    <row r="265" spans="1:27" ht="12.75">
      <c r="A265" s="56" t="s">
        <v>18</v>
      </c>
      <c r="B265" s="210">
        <f>C264</f>
        <v>3305.95033</v>
      </c>
      <c r="C265" s="210">
        <f>B265+80</f>
        <v>3385.95033</v>
      </c>
      <c r="D265" s="210">
        <v>20</v>
      </c>
      <c r="E265" s="37" t="s">
        <v>250</v>
      </c>
      <c r="F265" s="3"/>
      <c r="G265" s="3"/>
      <c r="H265" s="3"/>
      <c r="I265" s="98"/>
      <c r="J265" s="77"/>
      <c r="Q265" s="162">
        <f t="shared" si="31"/>
        <v>3305.95033</v>
      </c>
      <c r="R265" s="162">
        <v>0</v>
      </c>
      <c r="S265" s="162">
        <f t="shared" si="32"/>
        <v>3385.95033</v>
      </c>
      <c r="T265" s="162">
        <v>0</v>
      </c>
      <c r="X265" s="10">
        <f>$X$302+0.01*Q265*COS($Y$307)+0.01*R265*SIN($Y$307)</f>
        <v>304.0172720831985</v>
      </c>
      <c r="Y265" s="10">
        <f>$Y$302-0.01*Q265*SIN($Y$307)+0.01*R265*COS($Y$307)</f>
        <v>440.62156917089214</v>
      </c>
      <c r="Z265" s="10">
        <f>$X$302+0.01*S265*COS($Y$307)+0.01*T265*SIN($Y$307)</f>
        <v>304.7563757091153</v>
      </c>
      <c r="AA265" s="10">
        <f>$Y$302-0.01*S265*SIN($Y$307)+0.01*T265*COS($Y$307)</f>
        <v>440.3154224247774</v>
      </c>
    </row>
    <row r="266" spans="1:27" ht="12.75">
      <c r="A266" s="52" t="s">
        <v>42</v>
      </c>
      <c r="B266" s="212"/>
      <c r="C266" s="212"/>
      <c r="D266" s="212"/>
      <c r="E266" s="37" t="s">
        <v>251</v>
      </c>
      <c r="F266" s="3"/>
      <c r="G266" s="3"/>
      <c r="H266" s="3"/>
      <c r="I266" s="98"/>
      <c r="J266" s="77"/>
      <c r="Q266" s="162"/>
      <c r="R266" s="162"/>
      <c r="S266" s="162"/>
      <c r="T266" s="162"/>
      <c r="X266" s="10"/>
      <c r="Y266" s="10"/>
      <c r="Z266" s="10"/>
      <c r="AA266" s="10"/>
    </row>
    <row r="267" spans="1:27" ht="12.75">
      <c r="A267" s="34" t="s">
        <v>180</v>
      </c>
      <c r="B267" s="42">
        <f>C265</f>
        <v>3385.95033</v>
      </c>
      <c r="C267" s="42">
        <f>B267+11.5</f>
        <v>3397.45033</v>
      </c>
      <c r="D267" s="42">
        <v>5</v>
      </c>
      <c r="E267" s="37" t="s">
        <v>252</v>
      </c>
      <c r="F267" s="3"/>
      <c r="G267" s="3"/>
      <c r="H267" s="3"/>
      <c r="I267" s="98"/>
      <c r="J267" s="77"/>
      <c r="Q267" s="162">
        <f t="shared" si="31"/>
        <v>3385.95033</v>
      </c>
      <c r="R267" s="162">
        <v>0</v>
      </c>
      <c r="S267" s="162">
        <f t="shared" si="32"/>
        <v>3397.45033</v>
      </c>
      <c r="T267" s="162">
        <v>0</v>
      </c>
      <c r="X267" s="10">
        <f aca="true" t="shared" si="37" ref="X267:X295">$X$302+0.01*Q267*COS($Y$307)+0.01*R267*SIN($Y$307)</f>
        <v>304.7563757091153</v>
      </c>
      <c r="Y267" s="10">
        <f aca="true" t="shared" si="38" ref="Y267:Y295">$Y$302-0.01*Q267*SIN($Y$307)+0.01*R267*COS($Y$307)</f>
        <v>440.3154224247774</v>
      </c>
      <c r="Z267" s="10">
        <f aca="true" t="shared" si="39" ref="Z267:Z295">$X$302+0.01*S267*COS($Y$307)+0.01*T267*SIN($Y$307)</f>
        <v>304.8626218553408</v>
      </c>
      <c r="AA267" s="10">
        <f aca="true" t="shared" si="40" ref="AA267:AA295">$Y$302-0.01*S267*SIN($Y$307)+0.01*T267*COS($Y$307)</f>
        <v>440.2714138300234</v>
      </c>
    </row>
    <row r="268" spans="1:27" ht="12.75">
      <c r="A268" s="54" t="s">
        <v>18</v>
      </c>
      <c r="B268" s="210">
        <f>C267</f>
        <v>3397.45033</v>
      </c>
      <c r="C268" s="210">
        <f>B268+47</f>
        <v>3444.45033</v>
      </c>
      <c r="D268" s="210">
        <v>20</v>
      </c>
      <c r="E268" s="37" t="s">
        <v>253</v>
      </c>
      <c r="F268" s="3"/>
      <c r="G268" s="3"/>
      <c r="H268" s="3"/>
      <c r="I268" s="98"/>
      <c r="J268" s="77"/>
      <c r="Q268" s="162">
        <f t="shared" si="31"/>
        <v>3397.45033</v>
      </c>
      <c r="R268" s="162">
        <v>0</v>
      </c>
      <c r="S268" s="162">
        <f t="shared" si="32"/>
        <v>3444.45033</v>
      </c>
      <c r="T268" s="162">
        <v>0</v>
      </c>
      <c r="X268" s="10">
        <f t="shared" si="37"/>
        <v>304.8626218553408</v>
      </c>
      <c r="Y268" s="10">
        <f t="shared" si="38"/>
        <v>440.2714138300234</v>
      </c>
      <c r="Z268" s="10">
        <f t="shared" si="39"/>
        <v>305.29684523556693</v>
      </c>
      <c r="AA268" s="10">
        <f t="shared" si="40"/>
        <v>440.091552616681</v>
      </c>
    </row>
    <row r="269" spans="1:27" ht="12.75">
      <c r="A269" s="221" t="s">
        <v>41</v>
      </c>
      <c r="B269" s="211"/>
      <c r="C269" s="211"/>
      <c r="D269" s="211"/>
      <c r="E269" s="37" t="s">
        <v>254</v>
      </c>
      <c r="F269" s="3"/>
      <c r="G269" s="3"/>
      <c r="H269" s="3"/>
      <c r="I269" s="98"/>
      <c r="J269" s="35"/>
      <c r="Q269" s="162"/>
      <c r="R269" s="162"/>
      <c r="S269" s="162"/>
      <c r="T269" s="162"/>
      <c r="X269" s="10"/>
      <c r="Y269" s="10"/>
      <c r="Z269" s="10"/>
      <c r="AA269" s="10"/>
    </row>
    <row r="270" spans="1:27" ht="12.75">
      <c r="A270" s="222"/>
      <c r="B270" s="212"/>
      <c r="C270" s="212"/>
      <c r="D270" s="212"/>
      <c r="E270" s="37" t="s">
        <v>255</v>
      </c>
      <c r="F270" s="3"/>
      <c r="G270" s="3"/>
      <c r="H270" s="3"/>
      <c r="I270" s="98"/>
      <c r="J270" s="35"/>
      <c r="Q270" s="162"/>
      <c r="R270" s="162"/>
      <c r="S270" s="162"/>
      <c r="T270" s="162"/>
      <c r="X270" s="10"/>
      <c r="Y270" s="10"/>
      <c r="Z270" s="10"/>
      <c r="AA270" s="10"/>
    </row>
    <row r="271" spans="1:27" ht="12.75">
      <c r="A271" s="34" t="s">
        <v>180</v>
      </c>
      <c r="B271" s="32">
        <f>C268</f>
        <v>3444.45033</v>
      </c>
      <c r="C271" s="32">
        <f>B271+11.5</f>
        <v>3455.95033</v>
      </c>
      <c r="D271" s="32">
        <v>5</v>
      </c>
      <c r="E271" s="37" t="s">
        <v>256</v>
      </c>
      <c r="F271" s="3"/>
      <c r="G271" s="3"/>
      <c r="H271" s="3"/>
      <c r="I271" s="98"/>
      <c r="J271" s="35"/>
      <c r="Q271" s="162">
        <f t="shared" si="31"/>
        <v>3444.45033</v>
      </c>
      <c r="R271" s="162">
        <v>0</v>
      </c>
      <c r="S271" s="162">
        <f t="shared" si="32"/>
        <v>3455.95033</v>
      </c>
      <c r="T271" s="162">
        <v>0</v>
      </c>
      <c r="X271" s="10">
        <f t="shared" si="37"/>
        <v>305.29684523556693</v>
      </c>
      <c r="Y271" s="10">
        <f t="shared" si="38"/>
        <v>440.091552616681</v>
      </c>
      <c r="Z271" s="10">
        <f t="shared" si="39"/>
        <v>305.4030913817925</v>
      </c>
      <c r="AA271" s="10">
        <f t="shared" si="40"/>
        <v>440.04754402192697</v>
      </c>
    </row>
    <row r="272" spans="1:27" ht="12.75">
      <c r="A272" s="58" t="s">
        <v>30</v>
      </c>
      <c r="B272" s="12">
        <f>C271</f>
        <v>3455.95033</v>
      </c>
      <c r="C272" s="12">
        <f>B272+5.5</f>
        <v>3461.45033</v>
      </c>
      <c r="D272" s="12">
        <v>5</v>
      </c>
      <c r="E272" s="37" t="s">
        <v>257</v>
      </c>
      <c r="F272" s="3"/>
      <c r="G272" s="3"/>
      <c r="H272" s="3"/>
      <c r="I272" s="98"/>
      <c r="Q272" s="162">
        <f t="shared" si="31"/>
        <v>3455.95033</v>
      </c>
      <c r="R272" s="162">
        <v>0</v>
      </c>
      <c r="S272" s="162">
        <f t="shared" si="32"/>
        <v>3461.45033</v>
      </c>
      <c r="T272" s="162">
        <v>0</v>
      </c>
      <c r="X272" s="10">
        <f t="shared" si="37"/>
        <v>305.4030913817925</v>
      </c>
      <c r="Y272" s="10">
        <f t="shared" si="38"/>
        <v>440.04754402192697</v>
      </c>
      <c r="Z272" s="10">
        <f t="shared" si="39"/>
        <v>305.4539047560743</v>
      </c>
      <c r="AA272" s="10">
        <f t="shared" si="40"/>
        <v>440.0264964331316</v>
      </c>
    </row>
    <row r="273" spans="1:27" ht="12.75">
      <c r="A273" s="58" t="s">
        <v>16</v>
      </c>
      <c r="B273" s="97">
        <f>S291+653.8-5</f>
        <v>3852.55033</v>
      </c>
      <c r="C273" s="12">
        <f>B273+10</f>
        <v>3862.55033</v>
      </c>
      <c r="D273" s="12">
        <v>10</v>
      </c>
      <c r="E273" s="37" t="s">
        <v>258</v>
      </c>
      <c r="F273" s="3"/>
      <c r="G273" s="3"/>
      <c r="H273" s="3"/>
      <c r="I273" s="98"/>
      <c r="J273" s="78" t="s">
        <v>182</v>
      </c>
      <c r="Q273" s="162">
        <f t="shared" si="31"/>
        <v>3852.55033</v>
      </c>
      <c r="R273" s="162">
        <v>0</v>
      </c>
      <c r="S273" s="162">
        <f t="shared" si="32"/>
        <v>3862.55033</v>
      </c>
      <c r="T273" s="162">
        <v>0</v>
      </c>
      <c r="X273" s="10">
        <f t="shared" si="37"/>
        <v>309.067197607275</v>
      </c>
      <c r="Y273" s="10">
        <f t="shared" si="38"/>
        <v>438.52982152806317</v>
      </c>
      <c r="Z273" s="10">
        <f t="shared" si="39"/>
        <v>309.1595855605146</v>
      </c>
      <c r="AA273" s="10">
        <f t="shared" si="40"/>
        <v>438.4915531847988</v>
      </c>
    </row>
    <row r="274" spans="2:27" ht="12.75">
      <c r="B274" s="21"/>
      <c r="C274" s="21"/>
      <c r="D274" s="26"/>
      <c r="E274" s="21"/>
      <c r="Q274" s="76"/>
      <c r="R274" s="72"/>
      <c r="S274" s="72"/>
      <c r="T274" s="72"/>
      <c r="X274" s="10"/>
      <c r="Y274" s="10"/>
      <c r="Z274" s="10"/>
      <c r="AA274" s="10"/>
    </row>
    <row r="275" spans="1:27" ht="12.75">
      <c r="A275" s="73"/>
      <c r="B275" s="21"/>
      <c r="C275" s="21"/>
      <c r="D275" s="26"/>
      <c r="E275" s="21"/>
      <c r="Q275" s="76"/>
      <c r="R275" s="72"/>
      <c r="S275" s="72"/>
      <c r="T275" s="72"/>
      <c r="X275" s="10"/>
      <c r="Y275" s="10"/>
      <c r="Z275" s="10"/>
      <c r="AA275" s="10"/>
    </row>
    <row r="276" spans="1:27" ht="12.75">
      <c r="A276" s="213" t="s">
        <v>35</v>
      </c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5"/>
      <c r="X276" s="10"/>
      <c r="Y276" s="10"/>
      <c r="Z276" s="10"/>
      <c r="AA276" s="10"/>
    </row>
    <row r="277" spans="1:27" ht="12.75">
      <c r="A277" s="74" t="s">
        <v>36</v>
      </c>
      <c r="B277" s="71"/>
      <c r="C277" s="71"/>
      <c r="D277" s="32">
        <v>50</v>
      </c>
      <c r="E277" s="75" t="s">
        <v>159</v>
      </c>
      <c r="F277" s="68"/>
      <c r="G277" s="68"/>
      <c r="H277" s="68"/>
      <c r="I277" s="3"/>
      <c r="J277" s="95" t="s">
        <v>65</v>
      </c>
      <c r="K277" s="3"/>
      <c r="L277" s="3"/>
      <c r="M277" s="3"/>
      <c r="N277" s="3"/>
      <c r="O277" s="68"/>
      <c r="P277" s="68"/>
      <c r="Q277" s="163">
        <f>C248+24.9</f>
        <v>2923.4381000000003</v>
      </c>
      <c r="R277" s="164">
        <f>0</f>
        <v>0</v>
      </c>
      <c r="S277" s="165">
        <f>Q277+70.711</f>
        <v>2994.1491</v>
      </c>
      <c r="T277" s="165">
        <f>29.289</f>
        <v>29.289</v>
      </c>
      <c r="U277" s="93">
        <f>Q277</f>
        <v>2923.4381000000003</v>
      </c>
      <c r="V277" s="94">
        <f>100</f>
        <v>100</v>
      </c>
      <c r="W277" s="92"/>
      <c r="X277" s="10">
        <f>$X$302+0.01*Q277*COS($Y$307)+0.01*R277*SIN($Y$307)</f>
        <v>300.483319881317</v>
      </c>
      <c r="Y277" s="10">
        <f>$Y$302-0.01*Q277*SIN($Y$307)+0.01*R277*COS($Y$307)</f>
        <v>442.0853801029371</v>
      </c>
      <c r="Z277" s="10">
        <f>$X$302+0.01*S277*COS($Y$307)+0.01*T277*SIN($Y$307)</f>
        <v>301.2486884880565</v>
      </c>
      <c r="AA277" s="10">
        <f>$Y$302-0.01*S277*SIN($Y$307)+0.01*T277*COS($Y$307)</f>
        <v>442.08537589712404</v>
      </c>
    </row>
    <row r="278" spans="1:27" ht="12.75">
      <c r="A278" s="74" t="s">
        <v>180</v>
      </c>
      <c r="B278" s="71"/>
      <c r="C278" s="71"/>
      <c r="D278" s="32"/>
      <c r="E278" s="75" t="s">
        <v>220</v>
      </c>
      <c r="F278" s="68"/>
      <c r="G278" s="68"/>
      <c r="H278" s="68"/>
      <c r="I278" s="3"/>
      <c r="J278" s="95"/>
      <c r="K278" s="8"/>
      <c r="L278" s="3"/>
      <c r="M278" s="3"/>
      <c r="N278" s="8"/>
      <c r="O278" s="100"/>
      <c r="P278" s="100"/>
      <c r="Q278" s="163">
        <f>S277+34.9*SQRT(0.5)</f>
        <v>3018.8271266634106</v>
      </c>
      <c r="R278" s="163">
        <f>T277+34.9*SQRT(0.5)</f>
        <v>53.96702666341051</v>
      </c>
      <c r="S278" s="165">
        <f>Q278+11.5*SQRT(0.5)</f>
        <v>3026.958854647056</v>
      </c>
      <c r="T278" s="165">
        <f>R278+11.5*SQRT(0.5)</f>
        <v>62.098754647055806</v>
      </c>
      <c r="U278" s="93"/>
      <c r="V278" s="94"/>
      <c r="X278" s="10">
        <f t="shared" si="37"/>
        <v>301.57112244494317</v>
      </c>
      <c r="Y278" s="10">
        <f t="shared" si="38"/>
        <v>442.21893241492234</v>
      </c>
      <c r="Z278" s="10">
        <f t="shared" si="39"/>
        <v>301.6773685911952</v>
      </c>
      <c r="AA278" s="10">
        <f t="shared" si="40"/>
        <v>442.2629410096123</v>
      </c>
    </row>
    <row r="279" spans="1:27" ht="12.75">
      <c r="A279" s="87" t="s">
        <v>30</v>
      </c>
      <c r="B279" s="71"/>
      <c r="C279" s="71"/>
      <c r="D279" s="32"/>
      <c r="E279" s="75" t="s">
        <v>171</v>
      </c>
      <c r="F279" s="68"/>
      <c r="G279" s="68"/>
      <c r="H279" s="68"/>
      <c r="I279" s="3"/>
      <c r="J279" s="95"/>
      <c r="K279" s="8"/>
      <c r="L279" s="3"/>
      <c r="M279" s="3"/>
      <c r="N279" s="8"/>
      <c r="O279" s="100"/>
      <c r="P279" s="100"/>
      <c r="Q279" s="163">
        <f>S278</f>
        <v>3026.958854647056</v>
      </c>
      <c r="R279" s="163">
        <f>T278</f>
        <v>62.098754647055806</v>
      </c>
      <c r="S279" s="165">
        <f>Q279+5.5*SQRT(0.5)</f>
        <v>3030.847941943582</v>
      </c>
      <c r="T279" s="165">
        <f>R279+5.5*SQRT(0.5)</f>
        <v>65.98784194358181</v>
      </c>
      <c r="U279" s="93"/>
      <c r="V279" s="94"/>
      <c r="X279" s="10">
        <f t="shared" si="37"/>
        <v>301.6773685911952</v>
      </c>
      <c r="Y279" s="10">
        <f t="shared" si="38"/>
        <v>442.2629410096123</v>
      </c>
      <c r="Z279" s="10">
        <f t="shared" si="39"/>
        <v>301.7281819654896</v>
      </c>
      <c r="AA279" s="10">
        <f t="shared" si="40"/>
        <v>442.28398859837705</v>
      </c>
    </row>
    <row r="280" spans="1:27" ht="12.75">
      <c r="A280" s="5" t="s">
        <v>37</v>
      </c>
      <c r="B280" s="69"/>
      <c r="C280" s="69"/>
      <c r="D280" s="12">
        <v>17</v>
      </c>
      <c r="E280" s="20" t="s">
        <v>160</v>
      </c>
      <c r="F280" s="3"/>
      <c r="G280" s="3"/>
      <c r="H280" s="3"/>
      <c r="I280" s="3"/>
      <c r="J280" s="95"/>
      <c r="K280" s="8"/>
      <c r="L280" s="3"/>
      <c r="M280" s="3"/>
      <c r="N280" s="8"/>
      <c r="O280" s="8"/>
      <c r="P280" s="8"/>
      <c r="Q280" s="162">
        <f>S279+(14.3-$M$21/2)*SQRT(0.5)</f>
        <v>3038.201852467922</v>
      </c>
      <c r="R280" s="162">
        <f>T279+(14.3-$M$21/2)*SQRT(0.5)</f>
        <v>73.3417524679219</v>
      </c>
      <c r="S280" s="162">
        <f>Q280+$L$21*SQRT(0.5)</f>
        <v>3056.3744967444163</v>
      </c>
      <c r="T280" s="162">
        <f>R280+$L$21*SQRT(0.5)</f>
        <v>91.51439674441617</v>
      </c>
      <c r="U280" s="94"/>
      <c r="V280" s="94"/>
      <c r="X280" s="10">
        <f t="shared" si="37"/>
        <v>301.8242654368828</v>
      </c>
      <c r="Y280" s="10">
        <f t="shared" si="38"/>
        <v>442.3237876753141</v>
      </c>
      <c r="Z280" s="10">
        <f t="shared" si="39"/>
        <v>302.0617024767679</v>
      </c>
      <c r="AA280" s="10">
        <f t="shared" si="40"/>
        <v>442.42213731736035</v>
      </c>
    </row>
    <row r="281" spans="1:27" ht="12.75">
      <c r="A281" s="5" t="s">
        <v>179</v>
      </c>
      <c r="B281" s="70"/>
      <c r="C281" s="70"/>
      <c r="D281" s="12"/>
      <c r="E281" s="20" t="s">
        <v>221</v>
      </c>
      <c r="F281" s="3"/>
      <c r="G281" s="3"/>
      <c r="H281" s="3"/>
      <c r="I281" s="3"/>
      <c r="J281" s="95"/>
      <c r="K281" s="8"/>
      <c r="L281" s="3"/>
      <c r="M281" s="3"/>
      <c r="N281" s="8"/>
      <c r="O281" s="8"/>
      <c r="P281" s="8"/>
      <c r="Q281" s="162">
        <f>S280+(12.6-$M$21/2)*SQRT(0.5)</f>
        <v>3062.526325740739</v>
      </c>
      <c r="R281" s="162">
        <f>T280+(12.6-$M$21/2)*SQRT(0.5)</f>
        <v>97.66622574073914</v>
      </c>
      <c r="S281" s="162">
        <f>Q281+7.3*SQRT(0.5)</f>
        <v>3067.6882052434007</v>
      </c>
      <c r="T281" s="162">
        <f>R281+7.3*SQRT(0.5)</f>
        <v>102.82810524340093</v>
      </c>
      <c r="U281" s="94"/>
      <c r="V281" s="94"/>
      <c r="X281" s="10">
        <f t="shared" si="37"/>
        <v>302.14207999610636</v>
      </c>
      <c r="Y281" s="10">
        <f t="shared" si="38"/>
        <v>442.455430775952</v>
      </c>
      <c r="Z281" s="10">
        <f t="shared" si="39"/>
        <v>302.2095232019881</v>
      </c>
      <c r="AA281" s="10">
        <f t="shared" si="40"/>
        <v>442.48336666649425</v>
      </c>
    </row>
    <row r="282" spans="1:27" ht="12.75">
      <c r="A282" s="56" t="s">
        <v>18</v>
      </c>
      <c r="B282" s="224"/>
      <c r="C282" s="224"/>
      <c r="D282" s="12">
        <v>60</v>
      </c>
      <c r="E282" s="20" t="s">
        <v>161</v>
      </c>
      <c r="F282" s="3"/>
      <c r="G282" s="3"/>
      <c r="H282" s="3"/>
      <c r="I282" s="3"/>
      <c r="J282" s="95"/>
      <c r="K282" s="8"/>
      <c r="L282" s="3"/>
      <c r="M282" s="3"/>
      <c r="N282" s="8"/>
      <c r="O282" s="8"/>
      <c r="P282" s="8"/>
      <c r="Q282" s="162">
        <f>S281</f>
        <v>3067.6882052434007</v>
      </c>
      <c r="R282" s="162">
        <f>T281</f>
        <v>102.82810524340093</v>
      </c>
      <c r="S282" s="162">
        <f>Q282+47*SQRT(0.5)</f>
        <v>3100.9222239591686</v>
      </c>
      <c r="T282" s="162">
        <f>R282+47*SQRT(0.5)</f>
        <v>136.06212395916867</v>
      </c>
      <c r="U282" s="94"/>
      <c r="V282" s="94"/>
      <c r="X282" s="10">
        <f t="shared" si="37"/>
        <v>302.2095232019881</v>
      </c>
      <c r="Y282" s="10">
        <f t="shared" si="38"/>
        <v>442.48336666649425</v>
      </c>
      <c r="Z282" s="10">
        <f t="shared" si="39"/>
        <v>302.64374658232265</v>
      </c>
      <c r="AA282" s="10">
        <f t="shared" si="40"/>
        <v>442.663227879575</v>
      </c>
    </row>
    <row r="283" spans="1:27" ht="12.75">
      <c r="A283" s="198" t="s">
        <v>40</v>
      </c>
      <c r="B283" s="225"/>
      <c r="C283" s="225"/>
      <c r="D283" s="210"/>
      <c r="E283" s="20" t="s">
        <v>162</v>
      </c>
      <c r="F283" s="3"/>
      <c r="G283" s="3"/>
      <c r="H283" s="3"/>
      <c r="I283" s="3"/>
      <c r="J283" s="95"/>
      <c r="K283" s="8"/>
      <c r="L283" s="3"/>
      <c r="M283" s="3"/>
      <c r="N283" s="8"/>
      <c r="O283" s="8"/>
      <c r="P283" s="8"/>
      <c r="Q283" s="162"/>
      <c r="R283" s="162"/>
      <c r="S283" s="162"/>
      <c r="T283" s="162"/>
      <c r="U283" s="94"/>
      <c r="V283" s="94"/>
      <c r="X283" s="10"/>
      <c r="Y283" s="10"/>
      <c r="Z283" s="10"/>
      <c r="AA283" s="10"/>
    </row>
    <row r="284" spans="1:27" ht="12.75">
      <c r="A284" s="199"/>
      <c r="B284" s="225"/>
      <c r="C284" s="225"/>
      <c r="D284" s="212"/>
      <c r="E284" s="20" t="s">
        <v>163</v>
      </c>
      <c r="F284" s="3"/>
      <c r="G284" s="3"/>
      <c r="H284" s="3"/>
      <c r="I284" s="3"/>
      <c r="J284" s="95" t="s">
        <v>169</v>
      </c>
      <c r="K284" s="8"/>
      <c r="L284" s="3"/>
      <c r="M284" s="3"/>
      <c r="N284" s="8"/>
      <c r="O284" s="8"/>
      <c r="P284" s="8"/>
      <c r="Q284" s="162">
        <f>Q277+41.4214</f>
        <v>2964.8595000000005</v>
      </c>
      <c r="R284" s="162">
        <v>0</v>
      </c>
      <c r="S284" s="162"/>
      <c r="T284" s="162"/>
      <c r="U284" s="94"/>
      <c r="V284" s="94"/>
      <c r="X284" s="10">
        <f t="shared" si="37"/>
        <v>300.8660037179489</v>
      </c>
      <c r="Y284" s="10">
        <f t="shared" si="38"/>
        <v>441.9268672675681</v>
      </c>
      <c r="Z284" s="10"/>
      <c r="AA284" s="10"/>
    </row>
    <row r="285" spans="1:27" ht="12.75">
      <c r="A285" s="198" t="s">
        <v>41</v>
      </c>
      <c r="B285" s="225"/>
      <c r="C285" s="225"/>
      <c r="D285" s="210"/>
      <c r="E285" s="20" t="s">
        <v>164</v>
      </c>
      <c r="F285" s="3"/>
      <c r="G285" s="3"/>
      <c r="H285" s="3"/>
      <c r="I285" s="3"/>
      <c r="J285" s="95" t="s">
        <v>170</v>
      </c>
      <c r="K285" s="8"/>
      <c r="L285" s="3"/>
      <c r="M285" s="3"/>
      <c r="N285" s="8"/>
      <c r="O285" s="8"/>
      <c r="P285" s="8"/>
      <c r="Q285" s="162">
        <f>Q291+29.2893</f>
        <v>3203.75063</v>
      </c>
      <c r="R285" s="162">
        <f>T291-41.4214</f>
        <v>238.89083</v>
      </c>
      <c r="S285" s="162"/>
      <c r="T285" s="162"/>
      <c r="U285" s="94"/>
      <c r="V285" s="94"/>
      <c r="X285" s="10">
        <f t="shared" si="37"/>
        <v>303.98726560124277</v>
      </c>
      <c r="Y285" s="10">
        <f t="shared" si="38"/>
        <v>443.21973397414433</v>
      </c>
      <c r="Z285" s="10"/>
      <c r="AA285" s="10"/>
    </row>
    <row r="286" spans="1:27" ht="12.75">
      <c r="A286" s="199"/>
      <c r="B286" s="226"/>
      <c r="C286" s="226"/>
      <c r="D286" s="212"/>
      <c r="E286" s="20" t="s">
        <v>165</v>
      </c>
      <c r="F286" s="3"/>
      <c r="G286" s="3"/>
      <c r="H286" s="3"/>
      <c r="I286" s="3"/>
      <c r="J286" s="95"/>
      <c r="K286" s="8"/>
      <c r="L286" s="3"/>
      <c r="M286" s="3"/>
      <c r="N286" s="8"/>
      <c r="O286" s="8"/>
      <c r="P286" s="8"/>
      <c r="Q286" s="162"/>
      <c r="R286" s="162"/>
      <c r="S286" s="162"/>
      <c r="T286" s="162"/>
      <c r="U286" s="94"/>
      <c r="V286" s="94"/>
      <c r="X286" s="10"/>
      <c r="Y286" s="10"/>
      <c r="Z286" s="10"/>
      <c r="AA286" s="10"/>
    </row>
    <row r="287" spans="1:27" ht="12.75">
      <c r="A287" s="33" t="s">
        <v>179</v>
      </c>
      <c r="B287" s="71"/>
      <c r="C287" s="71"/>
      <c r="D287" s="32"/>
      <c r="E287" s="20" t="s">
        <v>222</v>
      </c>
      <c r="F287" s="3"/>
      <c r="G287" s="3"/>
      <c r="H287" s="3"/>
      <c r="I287" s="3"/>
      <c r="J287" s="95"/>
      <c r="K287" s="8"/>
      <c r="L287" s="3"/>
      <c r="M287" s="3"/>
      <c r="N287" s="8"/>
      <c r="O287" s="8"/>
      <c r="P287" s="8"/>
      <c r="Q287" s="162">
        <f>S282</f>
        <v>3100.9222239591686</v>
      </c>
      <c r="R287" s="162">
        <f>T282</f>
        <v>136.06212395916867</v>
      </c>
      <c r="S287" s="162">
        <f>Q287+7.3*SQRT(0.5)</f>
        <v>3106.08410346183</v>
      </c>
      <c r="T287" s="162">
        <f>R287+7.3*SQRT(0.5)</f>
        <v>141.22400346183048</v>
      </c>
      <c r="U287" s="94"/>
      <c r="V287" s="94"/>
      <c r="X287" s="10">
        <f t="shared" si="37"/>
        <v>302.64374658232265</v>
      </c>
      <c r="Y287" s="10">
        <f t="shared" si="38"/>
        <v>442.663227879575</v>
      </c>
      <c r="Z287" s="10">
        <f t="shared" si="39"/>
        <v>302.71118978820436</v>
      </c>
      <c r="AA287" s="10">
        <f t="shared" si="40"/>
        <v>442.6911637701174</v>
      </c>
    </row>
    <row r="288" spans="1:27" ht="12.75">
      <c r="A288" s="5" t="s">
        <v>37</v>
      </c>
      <c r="B288" s="69"/>
      <c r="C288" s="69"/>
      <c r="D288" s="12">
        <v>17</v>
      </c>
      <c r="E288" s="20" t="s">
        <v>166</v>
      </c>
      <c r="F288" s="3"/>
      <c r="G288" s="3"/>
      <c r="H288" s="3"/>
      <c r="I288" s="3"/>
      <c r="J288" s="95"/>
      <c r="K288" s="8"/>
      <c r="L288" s="3"/>
      <c r="M288" s="3"/>
      <c r="N288" s="8"/>
      <c r="O288" s="8"/>
      <c r="P288" s="8"/>
      <c r="Q288" s="166">
        <f>S287+(12.6-$M$21/2)*SQRT(0.5)</f>
        <v>3112.235932458153</v>
      </c>
      <c r="R288" s="166">
        <f>T287+(12.6-$M$21/2)*SQRT(0.5)</f>
        <v>147.37583245815344</v>
      </c>
      <c r="S288" s="166">
        <f>Q288+$L$21*SQRT(0.5)</f>
        <v>3130.4085767346473</v>
      </c>
      <c r="T288" s="166">
        <f>R288+$L$21*SQRT(0.5)</f>
        <v>165.54847673464772</v>
      </c>
      <c r="U288" s="94"/>
      <c r="V288" s="94"/>
      <c r="X288" s="10">
        <f t="shared" si="37"/>
        <v>302.79156730754283</v>
      </c>
      <c r="Y288" s="10">
        <f t="shared" si="38"/>
        <v>442.72445722870896</v>
      </c>
      <c r="Z288" s="10">
        <f t="shared" si="39"/>
        <v>303.0290043474279</v>
      </c>
      <c r="AA288" s="10">
        <f t="shared" si="40"/>
        <v>442.8228068707552</v>
      </c>
    </row>
    <row r="289" spans="1:27" ht="12.75">
      <c r="A289" s="5" t="s">
        <v>180</v>
      </c>
      <c r="B289" s="69"/>
      <c r="C289" s="69"/>
      <c r="D289" s="12"/>
      <c r="E289" s="20" t="s">
        <v>223</v>
      </c>
      <c r="F289" s="3"/>
      <c r="G289" s="3"/>
      <c r="H289" s="3"/>
      <c r="I289" s="3"/>
      <c r="J289" s="95"/>
      <c r="K289" s="8"/>
      <c r="L289" s="3"/>
      <c r="M289" s="3"/>
      <c r="N289" s="8"/>
      <c r="O289" s="8"/>
      <c r="P289" s="8"/>
      <c r="Q289" s="166">
        <f>S288+(22.6-$M$21/2)*SQRT(0.5)</f>
        <v>3143.631473542836</v>
      </c>
      <c r="R289" s="166">
        <f>T288+(22.6-$M$21/2)*SQRT(0.5)</f>
        <v>178.77137354283616</v>
      </c>
      <c r="S289" s="166">
        <f>Q289+11.5*SQRT(0.5)</f>
        <v>3151.763201526481</v>
      </c>
      <c r="T289" s="166">
        <f>R289+11.5*SQRT(0.5)</f>
        <v>186.90310152648146</v>
      </c>
      <c r="U289" s="94"/>
      <c r="V289" s="94"/>
      <c r="X289" s="10">
        <f t="shared" si="37"/>
        <v>303.2017698200291</v>
      </c>
      <c r="Y289" s="10">
        <f t="shared" si="38"/>
        <v>442.8943686725554</v>
      </c>
      <c r="Z289" s="10">
        <f t="shared" si="39"/>
        <v>303.3080159662811</v>
      </c>
      <c r="AA289" s="10">
        <f t="shared" si="40"/>
        <v>442.9383772672454</v>
      </c>
    </row>
    <row r="290" spans="1:27" ht="12.75">
      <c r="A290" s="61" t="s">
        <v>58</v>
      </c>
      <c r="B290" s="69"/>
      <c r="C290" s="69"/>
      <c r="D290" s="12"/>
      <c r="E290" s="37" t="s">
        <v>152</v>
      </c>
      <c r="F290" s="3"/>
      <c r="G290" s="3"/>
      <c r="H290" s="3"/>
      <c r="I290" s="3"/>
      <c r="J290" s="95"/>
      <c r="K290" s="8"/>
      <c r="L290" s="3"/>
      <c r="M290" s="3"/>
      <c r="N290" s="8"/>
      <c r="O290" s="8"/>
      <c r="P290" s="8"/>
      <c r="Q290" s="166">
        <f>S289</f>
        <v>3151.763201526481</v>
      </c>
      <c r="R290" s="166">
        <f>T289</f>
        <v>186.90310152648146</v>
      </c>
      <c r="S290" s="166">
        <f>Q290+7.2*SQRT(0.5)</f>
        <v>3156.8543703510245</v>
      </c>
      <c r="T290" s="166">
        <f>R290+7.2*SQRT(0.5)</f>
        <v>191.9942703510246</v>
      </c>
      <c r="U290" s="94"/>
      <c r="V290" s="94"/>
      <c r="X290" s="10">
        <f t="shared" si="37"/>
        <v>303.3080159662811</v>
      </c>
      <c r="Y290" s="10">
        <f t="shared" si="38"/>
        <v>442.9383772672454</v>
      </c>
      <c r="Z290" s="10">
        <f t="shared" si="39"/>
        <v>303.37453529263024</v>
      </c>
      <c r="AA290" s="10">
        <f t="shared" si="40"/>
        <v>442.9659304743557</v>
      </c>
    </row>
    <row r="291" spans="1:27" ht="12.75">
      <c r="A291" s="5" t="s">
        <v>36</v>
      </c>
      <c r="B291" s="69"/>
      <c r="C291" s="69"/>
      <c r="D291" s="12">
        <v>50</v>
      </c>
      <c r="E291" s="37" t="s">
        <v>240</v>
      </c>
      <c r="F291" s="3"/>
      <c r="G291" s="3"/>
      <c r="H291" s="3"/>
      <c r="I291" s="3"/>
      <c r="J291" s="95" t="s">
        <v>65</v>
      </c>
      <c r="K291" s="8"/>
      <c r="L291" s="3"/>
      <c r="M291" s="3"/>
      <c r="N291" s="8"/>
      <c r="O291" s="8"/>
      <c r="P291" s="8"/>
      <c r="Q291" s="166">
        <f>S277+180.31223</f>
        <v>3174.46133</v>
      </c>
      <c r="R291" s="166">
        <f>T277+180.31223</f>
        <v>209.60123</v>
      </c>
      <c r="S291" s="166">
        <f>U291+100</f>
        <v>3203.7503300000003</v>
      </c>
      <c r="T291" s="166">
        <f>V291</f>
        <v>280.31223</v>
      </c>
      <c r="U291" s="102">
        <f>U277+180.31223</f>
        <v>3103.7503300000003</v>
      </c>
      <c r="V291" s="94">
        <f>V277+180.31223</f>
        <v>280.31223</v>
      </c>
      <c r="X291" s="10">
        <f t="shared" si="37"/>
        <v>303.60458130667314</v>
      </c>
      <c r="Y291" s="10">
        <f t="shared" si="38"/>
        <v>443.06121865326094</v>
      </c>
      <c r="Z291" s="10">
        <f t="shared" si="39"/>
        <v>304.14577566497314</v>
      </c>
      <c r="AA291" s="10">
        <f t="shared" si="40"/>
        <v>443.6024189588265</v>
      </c>
    </row>
    <row r="292" spans="1:27" ht="12.75">
      <c r="A292" s="15" t="s">
        <v>48</v>
      </c>
      <c r="B292" s="69"/>
      <c r="C292" s="69"/>
      <c r="D292" s="69"/>
      <c r="E292" s="83" t="s">
        <v>262</v>
      </c>
      <c r="F292" s="3"/>
      <c r="G292" s="3"/>
      <c r="H292" s="3"/>
      <c r="I292" s="3"/>
      <c r="J292" s="95"/>
      <c r="K292" s="3"/>
      <c r="L292" s="3"/>
      <c r="M292" s="3"/>
      <c r="N292" s="3"/>
      <c r="O292" s="3"/>
      <c r="P292" s="3"/>
      <c r="Q292" s="162">
        <f aca="true" t="shared" si="41" ref="Q292:R295">S291</f>
        <v>3203.7503300000003</v>
      </c>
      <c r="R292" s="162">
        <f>T291+24.9</f>
        <v>305.21223</v>
      </c>
      <c r="S292" s="162">
        <f>Q292</f>
        <v>3203.7503300000003</v>
      </c>
      <c r="T292" s="162">
        <f>R292+11.5</f>
        <v>316.71223</v>
      </c>
      <c r="U292" s="51"/>
      <c r="X292" s="10">
        <f t="shared" si="37"/>
        <v>304.2410638397013</v>
      </c>
      <c r="Y292" s="10">
        <f t="shared" si="38"/>
        <v>443.83246496239315</v>
      </c>
      <c r="Z292" s="10">
        <f t="shared" si="39"/>
        <v>304.28507243445534</v>
      </c>
      <c r="AA292" s="10">
        <f t="shared" si="40"/>
        <v>443.93871110861863</v>
      </c>
    </row>
    <row r="293" spans="1:27" ht="12.75">
      <c r="A293" s="58" t="s">
        <v>224</v>
      </c>
      <c r="B293" s="69"/>
      <c r="C293" s="69"/>
      <c r="D293" s="69"/>
      <c r="E293" s="83" t="s">
        <v>260</v>
      </c>
      <c r="F293" s="3"/>
      <c r="G293" s="3"/>
      <c r="H293" s="3"/>
      <c r="I293" s="3"/>
      <c r="J293" s="95"/>
      <c r="K293" s="3"/>
      <c r="L293" s="3"/>
      <c r="M293" s="3"/>
      <c r="N293" s="3"/>
      <c r="O293" s="3"/>
      <c r="P293" s="3"/>
      <c r="Q293" s="162">
        <f t="shared" si="41"/>
        <v>3203.7503300000003</v>
      </c>
      <c r="R293" s="162">
        <f t="shared" si="41"/>
        <v>316.71223</v>
      </c>
      <c r="S293" s="162">
        <f>Q293</f>
        <v>3203.7503300000003</v>
      </c>
      <c r="T293" s="162">
        <f>R293+10</f>
        <v>326.71223</v>
      </c>
      <c r="U293" s="51"/>
      <c r="X293" s="10">
        <f t="shared" si="37"/>
        <v>304.28507243445534</v>
      </c>
      <c r="Y293" s="10">
        <f t="shared" si="38"/>
        <v>443.93871110861863</v>
      </c>
      <c r="Z293" s="10">
        <f t="shared" si="39"/>
        <v>304.3233407777197</v>
      </c>
      <c r="AA293" s="10">
        <f t="shared" si="40"/>
        <v>444.03109906185824</v>
      </c>
    </row>
    <row r="294" spans="1:27" ht="12.75">
      <c r="A294" s="58" t="s">
        <v>30</v>
      </c>
      <c r="B294" s="69"/>
      <c r="C294" s="69"/>
      <c r="D294" s="69"/>
      <c r="E294" s="83" t="s">
        <v>261</v>
      </c>
      <c r="F294" s="3"/>
      <c r="G294" s="3"/>
      <c r="H294" s="3"/>
      <c r="I294" s="3"/>
      <c r="J294" s="95"/>
      <c r="K294" s="3"/>
      <c r="L294" s="3"/>
      <c r="M294" s="3"/>
      <c r="N294" s="3"/>
      <c r="O294" s="3"/>
      <c r="P294" s="3"/>
      <c r="Q294" s="162">
        <f t="shared" si="41"/>
        <v>3203.7503300000003</v>
      </c>
      <c r="R294" s="162">
        <f t="shared" si="41"/>
        <v>326.71223</v>
      </c>
      <c r="S294" s="162">
        <f>Q294</f>
        <v>3203.7503300000003</v>
      </c>
      <c r="T294" s="162">
        <f>R294+5.5</f>
        <v>332.21223</v>
      </c>
      <c r="U294" s="51"/>
      <c r="X294" s="10">
        <f t="shared" si="37"/>
        <v>304.3233407777197</v>
      </c>
      <c r="Y294" s="10">
        <f t="shared" si="38"/>
        <v>444.03109906185824</v>
      </c>
      <c r="Z294" s="10">
        <f t="shared" si="39"/>
        <v>304.3443883665151</v>
      </c>
      <c r="AA294" s="10">
        <f t="shared" si="40"/>
        <v>444.08191243614004</v>
      </c>
    </row>
    <row r="295" spans="1:27" ht="12.75">
      <c r="A295" s="223" t="s">
        <v>29</v>
      </c>
      <c r="B295" s="69"/>
      <c r="C295" s="69"/>
      <c r="D295" s="69"/>
      <c r="E295" s="208" t="s">
        <v>241</v>
      </c>
      <c r="F295" s="3"/>
      <c r="G295" s="3"/>
      <c r="H295" s="3"/>
      <c r="I295" s="3"/>
      <c r="J295" s="95" t="s">
        <v>70</v>
      </c>
      <c r="K295" s="3"/>
      <c r="L295" s="3"/>
      <c r="M295" s="3"/>
      <c r="N295" s="3"/>
      <c r="O295" s="101"/>
      <c r="P295" s="101"/>
      <c r="Q295" s="191">
        <f t="shared" si="41"/>
        <v>3203.7503300000003</v>
      </c>
      <c r="R295" s="191">
        <f t="shared" si="41"/>
        <v>332.21223</v>
      </c>
      <c r="S295" s="191">
        <f>Q295</f>
        <v>3203.7503300000003</v>
      </c>
      <c r="T295" s="191">
        <f>R295+35</f>
        <v>367.21223</v>
      </c>
      <c r="U295" s="51"/>
      <c r="X295" s="10">
        <f t="shared" si="37"/>
        <v>304.3443883665151</v>
      </c>
      <c r="Y295" s="10">
        <f t="shared" si="38"/>
        <v>444.08191243614004</v>
      </c>
      <c r="Z295" s="10">
        <f t="shared" si="39"/>
        <v>304.47832756794025</v>
      </c>
      <c r="AA295" s="10">
        <f t="shared" si="40"/>
        <v>444.4052702724786</v>
      </c>
    </row>
    <row r="296" spans="1:27" ht="12.75">
      <c r="A296" s="223"/>
      <c r="B296" s="39"/>
      <c r="C296" s="39"/>
      <c r="D296" s="12"/>
      <c r="E296" s="209"/>
      <c r="F296" s="3"/>
      <c r="G296" s="3"/>
      <c r="H296" s="3"/>
      <c r="I296" s="3"/>
      <c r="J296" s="95" t="s">
        <v>71</v>
      </c>
      <c r="K296" s="3"/>
      <c r="L296" s="3"/>
      <c r="M296" s="3"/>
      <c r="N296" s="3"/>
      <c r="O296" s="68"/>
      <c r="P296" s="68"/>
      <c r="Q296" s="233"/>
      <c r="R296" s="233"/>
      <c r="S296" s="233"/>
      <c r="T296" s="233"/>
      <c r="X296" s="10"/>
      <c r="Y296" s="10"/>
      <c r="Z296" s="10"/>
      <c r="AA296" s="10"/>
    </row>
    <row r="297" spans="1:27" ht="12.75">
      <c r="A297" s="34" t="s">
        <v>173</v>
      </c>
      <c r="B297" s="21"/>
      <c r="C297" s="21"/>
      <c r="D297" s="26"/>
      <c r="E297" s="21"/>
      <c r="Q297" s="167">
        <f>Q295</f>
        <v>3203.7503300000003</v>
      </c>
      <c r="R297" s="167">
        <f>T295+15.5</f>
        <v>382.71223</v>
      </c>
      <c r="S297" s="167">
        <f>S295</f>
        <v>3203.7503300000003</v>
      </c>
      <c r="T297" s="167">
        <f>R297+35.4</f>
        <v>418.11222999999995</v>
      </c>
      <c r="X297" s="91">
        <v>304.5376435</v>
      </c>
      <c r="Y297" s="91">
        <v>444.5484716</v>
      </c>
      <c r="Z297" s="10">
        <f>$X$302+0.01*S297*COS($Y$307)+0.01*T297*SIN($Y$307)</f>
        <v>304.67311343515576</v>
      </c>
      <c r="AA297" s="10">
        <f>$Y$302-0.01*S297*SIN($Y$307)+0.01*T297*COS($Y$307)</f>
        <v>444.8755249544682</v>
      </c>
    </row>
    <row r="298" spans="2:5" ht="12.75">
      <c r="B298" s="21"/>
      <c r="C298" s="21"/>
      <c r="D298" s="26"/>
      <c r="E298" s="21"/>
    </row>
    <row r="299" spans="2:5" ht="12.75">
      <c r="B299" s="21"/>
      <c r="C299" s="21"/>
      <c r="D299" s="26"/>
      <c r="E299" s="21"/>
    </row>
    <row r="300" spans="2:5" ht="12.75">
      <c r="B300" s="21"/>
      <c r="C300" s="21"/>
      <c r="D300" s="26"/>
      <c r="E300" s="21"/>
    </row>
    <row r="301" spans="2:5" ht="12.75">
      <c r="B301" s="21"/>
      <c r="C301" s="21"/>
      <c r="D301" s="26"/>
      <c r="E301" s="21"/>
    </row>
    <row r="302" spans="2:25" ht="12.75">
      <c r="B302" s="21"/>
      <c r="C302" s="21"/>
      <c r="D302" s="26"/>
      <c r="E302" s="21"/>
      <c r="U302" s="234" t="s">
        <v>177</v>
      </c>
      <c r="V302" s="235"/>
      <c r="W302" s="236"/>
      <c r="X302" s="90">
        <f>X297-0.01*$Q$297*COS($Y$307)-0.01*$R$297*SIN($Y$307)</f>
        <v>273.4742736331507</v>
      </c>
      <c r="Y302" s="90">
        <f>Y297+0.01*$Q$297*SIN($Y$307)-0.01*$R$297*COS($Y$307)</f>
        <v>453.272893375223</v>
      </c>
    </row>
    <row r="303" spans="2:5" ht="12.75">
      <c r="B303" s="21"/>
      <c r="C303" s="21"/>
      <c r="D303" s="26"/>
      <c r="E303" s="21"/>
    </row>
    <row r="304" spans="2:5" ht="12.75">
      <c r="B304" s="21"/>
      <c r="C304" s="21"/>
      <c r="D304" s="26"/>
      <c r="E304" s="21"/>
    </row>
    <row r="305" spans="2:5" ht="12.75">
      <c r="B305" s="21"/>
      <c r="C305" s="21"/>
      <c r="D305" s="26"/>
      <c r="E305" s="21"/>
    </row>
    <row r="306" spans="2:5" ht="12.75">
      <c r="B306" s="21"/>
      <c r="C306" s="21"/>
      <c r="D306" s="26"/>
      <c r="E306" s="21"/>
    </row>
    <row r="307" spans="2:25" ht="12.75">
      <c r="B307" s="21"/>
      <c r="C307" s="21"/>
      <c r="D307" s="26"/>
      <c r="E307" s="21"/>
      <c r="X307" s="89" t="s">
        <v>174</v>
      </c>
      <c r="Y307" s="89">
        <v>0.392699082</v>
      </c>
    </row>
    <row r="308" spans="2:5" ht="12.75">
      <c r="B308" s="21"/>
      <c r="C308" s="21"/>
      <c r="D308" s="26"/>
      <c r="E308" s="21"/>
    </row>
    <row r="309" spans="2:5" ht="12.75">
      <c r="B309" s="21"/>
      <c r="C309" s="21"/>
      <c r="D309" s="26"/>
      <c r="E309" s="21"/>
    </row>
    <row r="310" spans="2:5" ht="12.75">
      <c r="B310" s="21"/>
      <c r="C310" s="21"/>
      <c r="D310" s="26"/>
      <c r="E310" s="21"/>
    </row>
    <row r="311" spans="2:5" ht="12.75">
      <c r="B311" s="21"/>
      <c r="C311" s="21"/>
      <c r="D311" s="26"/>
      <c r="E311" s="21"/>
    </row>
    <row r="312" spans="24:27" ht="12.75">
      <c r="X312" s="6">
        <f aca="true" t="shared" si="42" ref="X312:AA313">Q295</f>
        <v>3203.7503300000003</v>
      </c>
      <c r="Y312" s="6">
        <f t="shared" si="42"/>
        <v>332.21223</v>
      </c>
      <c r="Z312" s="6">
        <f t="shared" si="42"/>
        <v>3203.7503300000003</v>
      </c>
      <c r="AA312" s="6">
        <f t="shared" si="42"/>
        <v>367.21223</v>
      </c>
    </row>
    <row r="313" spans="24:27" ht="12.75">
      <c r="X313" s="6">
        <f t="shared" si="42"/>
        <v>0</v>
      </c>
      <c r="Y313" s="6">
        <f t="shared" si="42"/>
        <v>0</v>
      </c>
      <c r="Z313" s="6">
        <f t="shared" si="42"/>
        <v>0</v>
      </c>
      <c r="AA313" s="6">
        <f t="shared" si="42"/>
        <v>0</v>
      </c>
    </row>
  </sheetData>
  <mergeCells count="132">
    <mergeCell ref="U302:W302"/>
    <mergeCell ref="X1:Y1"/>
    <mergeCell ref="Z1:AA1"/>
    <mergeCell ref="X2:AA2"/>
    <mergeCell ref="U2:V2"/>
    <mergeCell ref="Q295:Q296"/>
    <mergeCell ref="R295:R296"/>
    <mergeCell ref="S295:S296"/>
    <mergeCell ref="T295:T296"/>
    <mergeCell ref="M10:M12"/>
    <mergeCell ref="A150:A153"/>
    <mergeCell ref="K16:L16"/>
    <mergeCell ref="B150:B153"/>
    <mergeCell ref="C150:C153"/>
    <mergeCell ref="B8:B10"/>
    <mergeCell ref="C8:C10"/>
    <mergeCell ref="D8:D10"/>
    <mergeCell ref="C67:C79"/>
    <mergeCell ref="B84:B97"/>
    <mergeCell ref="B192:B212"/>
    <mergeCell ref="C192:C212"/>
    <mergeCell ref="C84:C97"/>
    <mergeCell ref="B102:B116"/>
    <mergeCell ref="C102:C116"/>
    <mergeCell ref="B121:B137"/>
    <mergeCell ref="C121:C137"/>
    <mergeCell ref="C142:C143"/>
    <mergeCell ref="C155:C158"/>
    <mergeCell ref="B155:B158"/>
    <mergeCell ref="D19:D21"/>
    <mergeCell ref="B12:B17"/>
    <mergeCell ref="C12:C17"/>
    <mergeCell ref="D12:D17"/>
    <mergeCell ref="B19:B21"/>
    <mergeCell ref="C19:C21"/>
    <mergeCell ref="E37:E46"/>
    <mergeCell ref="E51:E62"/>
    <mergeCell ref="B25:B26"/>
    <mergeCell ref="C25:C26"/>
    <mergeCell ref="D25:D26"/>
    <mergeCell ref="E31:E32"/>
    <mergeCell ref="B31:B32"/>
    <mergeCell ref="C31:C32"/>
    <mergeCell ref="B37:B46"/>
    <mergeCell ref="C37:C46"/>
    <mergeCell ref="A192:A212"/>
    <mergeCell ref="A217:A237"/>
    <mergeCell ref="A84:A97"/>
    <mergeCell ref="A102:A116"/>
    <mergeCell ref="A121:A137"/>
    <mergeCell ref="A168:A187"/>
    <mergeCell ref="A142:A143"/>
    <mergeCell ref="A157:A158"/>
    <mergeCell ref="A162:A163"/>
    <mergeCell ref="D84:D97"/>
    <mergeCell ref="D102:D116"/>
    <mergeCell ref="D121:D137"/>
    <mergeCell ref="A31:A32"/>
    <mergeCell ref="A37:A46"/>
    <mergeCell ref="A51:A62"/>
    <mergeCell ref="A67:A79"/>
    <mergeCell ref="B51:B62"/>
    <mergeCell ref="C51:C62"/>
    <mergeCell ref="B67:B79"/>
    <mergeCell ref="D31:D32"/>
    <mergeCell ref="D37:D46"/>
    <mergeCell ref="D51:D62"/>
    <mergeCell ref="D67:D79"/>
    <mergeCell ref="E168:E187"/>
    <mergeCell ref="E192:E212"/>
    <mergeCell ref="E217:E237"/>
    <mergeCell ref="D150:D153"/>
    <mergeCell ref="D168:D187"/>
    <mergeCell ref="D142:D143"/>
    <mergeCell ref="B147:B149"/>
    <mergeCell ref="C147:C149"/>
    <mergeCell ref="D147:D149"/>
    <mergeCell ref="B142:B143"/>
    <mergeCell ref="B162:B163"/>
    <mergeCell ref="C162:C163"/>
    <mergeCell ref="D162:D163"/>
    <mergeCell ref="B244:B245"/>
    <mergeCell ref="C244:C245"/>
    <mergeCell ref="D244:D245"/>
    <mergeCell ref="B217:B237"/>
    <mergeCell ref="C217:C237"/>
    <mergeCell ref="B168:B187"/>
    <mergeCell ref="C168:C187"/>
    <mergeCell ref="A285:A286"/>
    <mergeCell ref="D285:D286"/>
    <mergeCell ref="A269:A270"/>
    <mergeCell ref="A262:A263"/>
    <mergeCell ref="D265:D266"/>
    <mergeCell ref="A283:A284"/>
    <mergeCell ref="D283:D284"/>
    <mergeCell ref="B268:B270"/>
    <mergeCell ref="D268:D270"/>
    <mergeCell ref="B260:B263"/>
    <mergeCell ref="D251:D252"/>
    <mergeCell ref="A244:A245"/>
    <mergeCell ref="A249:T249"/>
    <mergeCell ref="F257:H257"/>
    <mergeCell ref="Q1:R1"/>
    <mergeCell ref="S1:T1"/>
    <mergeCell ref="D155:D158"/>
    <mergeCell ref="D217:D237"/>
    <mergeCell ref="E67:E79"/>
    <mergeCell ref="E84:E97"/>
    <mergeCell ref="E102:E116"/>
    <mergeCell ref="E121:E137"/>
    <mergeCell ref="Q2:T2"/>
    <mergeCell ref="M21:M23"/>
    <mergeCell ref="M3:M4"/>
    <mergeCell ref="E150:E153"/>
    <mergeCell ref="A148:A149"/>
    <mergeCell ref="A295:A296"/>
    <mergeCell ref="D192:D212"/>
    <mergeCell ref="B282:B286"/>
    <mergeCell ref="C282:C286"/>
    <mergeCell ref="C260:C263"/>
    <mergeCell ref="B265:B266"/>
    <mergeCell ref="C265:C266"/>
    <mergeCell ref="A9:A10"/>
    <mergeCell ref="A20:A21"/>
    <mergeCell ref="A25:A26"/>
    <mergeCell ref="E295:E296"/>
    <mergeCell ref="C268:C270"/>
    <mergeCell ref="A276:T276"/>
    <mergeCell ref="A251:A252"/>
    <mergeCell ref="B251:B252"/>
    <mergeCell ref="C251:C252"/>
    <mergeCell ref="D260:D263"/>
  </mergeCells>
  <printOptions/>
  <pageMargins left="0.75" right="0.75" top="1" bottom="1" header="0.4921259845" footer="0.4921259845"/>
  <pageSetup horizontalDpi="600" verticalDpi="600" orientation="landscape" paperSize="8" scale="40" r:id="rId2"/>
  <ignoredErrors>
    <ignoredError sqref="C28 C239:C240 C49 C64 C82 C99 C119 C139 C166 C189 C214 C160 C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3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I51" sqref="I51"/>
    </sheetView>
  </sheetViews>
  <sheetFormatPr defaultColWidth="11.421875" defaultRowHeight="12.75"/>
  <cols>
    <col min="1" max="1" width="16.00390625" style="5" bestFit="1" customWidth="1"/>
    <col min="2" max="2" width="30.8515625" style="22" bestFit="1" customWidth="1"/>
    <col min="3" max="3" width="22.28125" style="22" customWidth="1"/>
    <col min="4" max="4" width="30.8515625" style="27" bestFit="1" customWidth="1"/>
    <col min="5" max="5" width="11.421875" style="22" customWidth="1"/>
    <col min="6" max="6" width="13.7109375" style="0" customWidth="1"/>
    <col min="8" max="8" width="10.421875" style="0" bestFit="1" customWidth="1"/>
    <col min="9" max="9" width="69.140625" style="0" bestFit="1" customWidth="1"/>
    <col min="10" max="10" width="17.28125" style="13" customWidth="1"/>
    <col min="11" max="11" width="16.57421875" style="0" customWidth="1"/>
    <col min="12" max="13" width="5.140625" style="0" customWidth="1"/>
    <col min="15" max="15" width="24.421875" style="0" customWidth="1"/>
    <col min="16" max="16" width="11.7109375" style="0" bestFit="1" customWidth="1"/>
    <col min="17" max="17" width="8.421875" style="0" customWidth="1"/>
    <col min="18" max="18" width="11.7109375" style="0" bestFit="1" customWidth="1"/>
    <col min="19" max="19" width="8.7109375" style="0" bestFit="1" customWidth="1"/>
    <col min="20" max="20" width="11.57421875" style="0" bestFit="1" customWidth="1"/>
    <col min="21" max="21" width="11.7109375" style="0" bestFit="1" customWidth="1"/>
    <col min="22" max="22" width="11.57421875" style="0" customWidth="1"/>
    <col min="23" max="23" width="11.7109375" style="0" bestFit="1" customWidth="1"/>
  </cols>
  <sheetData>
    <row r="1" spans="1:26" s="1" customFormat="1" ht="12.75">
      <c r="A1" s="99"/>
      <c r="B1" s="99"/>
      <c r="C1" s="99"/>
      <c r="D1" s="112"/>
      <c r="E1" s="99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48"/>
      <c r="Q1" s="148"/>
      <c r="R1" s="148"/>
      <c r="S1" s="148"/>
      <c r="T1" s="113"/>
      <c r="U1" s="113"/>
      <c r="V1" s="113"/>
      <c r="W1" s="148"/>
      <c r="X1" s="148"/>
      <c r="Y1" s="148"/>
      <c r="Z1" s="148"/>
    </row>
    <row r="2" spans="1:26" s="1" customFormat="1" ht="12.75">
      <c r="A2" s="99"/>
      <c r="B2" s="113"/>
      <c r="C2" s="113"/>
      <c r="D2" s="120"/>
      <c r="E2" s="113"/>
      <c r="F2" s="113"/>
      <c r="G2" s="113"/>
      <c r="H2" s="113"/>
      <c r="I2" s="113"/>
      <c r="J2" s="113"/>
      <c r="K2" s="60"/>
      <c r="L2" s="60"/>
      <c r="M2" s="60"/>
      <c r="N2" s="113"/>
      <c r="O2" s="113"/>
      <c r="P2" s="148"/>
      <c r="Q2" s="148"/>
      <c r="R2" s="148"/>
      <c r="S2" s="148"/>
      <c r="T2" s="148"/>
      <c r="U2" s="148"/>
      <c r="V2" s="113"/>
      <c r="W2" s="148"/>
      <c r="X2" s="148"/>
      <c r="Y2" s="148"/>
      <c r="Z2" s="148"/>
    </row>
    <row r="3" spans="1:26" s="1" customFormat="1" ht="12.75">
      <c r="A3" s="99"/>
      <c r="B3" s="113"/>
      <c r="C3" s="113"/>
      <c r="D3" s="120"/>
      <c r="E3" s="113"/>
      <c r="F3" s="113"/>
      <c r="G3" s="113"/>
      <c r="H3" s="113"/>
      <c r="I3" s="113"/>
      <c r="J3" s="114"/>
      <c r="K3" s="60"/>
      <c r="L3" s="60"/>
      <c r="M3" s="149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s="1" customFormat="1" ht="12.75">
      <c r="A4" s="99"/>
      <c r="B4" s="117"/>
      <c r="C4" s="117"/>
      <c r="D4" s="117"/>
      <c r="E4" s="130"/>
      <c r="F4" s="113"/>
      <c r="G4" s="113"/>
      <c r="H4" s="113"/>
      <c r="I4" s="113"/>
      <c r="J4" s="114"/>
      <c r="K4" s="60"/>
      <c r="L4" s="60"/>
      <c r="M4" s="149"/>
      <c r="N4" s="113"/>
      <c r="O4" s="113"/>
      <c r="P4" s="117"/>
      <c r="Q4" s="117"/>
      <c r="R4" s="117"/>
      <c r="S4" s="117"/>
      <c r="T4" s="113"/>
      <c r="U4" s="113"/>
      <c r="V4" s="113"/>
      <c r="W4" s="114"/>
      <c r="X4" s="114"/>
      <c r="Y4" s="114"/>
      <c r="Z4" s="114"/>
    </row>
    <row r="5" spans="1:26" s="1" customFormat="1" ht="12.75">
      <c r="A5" s="103" t="s">
        <v>187</v>
      </c>
      <c r="B5" s="160" t="s">
        <v>188</v>
      </c>
      <c r="C5" s="160" t="s">
        <v>189</v>
      </c>
      <c r="D5" s="117"/>
      <c r="E5" s="130"/>
      <c r="F5" s="113"/>
      <c r="G5" s="113"/>
      <c r="H5" s="113"/>
      <c r="I5" s="113"/>
      <c r="J5" s="115"/>
      <c r="K5" s="60"/>
      <c r="L5" s="60"/>
      <c r="M5" s="60"/>
      <c r="N5" s="113"/>
      <c r="O5" s="113"/>
      <c r="P5" s="117"/>
      <c r="Q5" s="117"/>
      <c r="R5" s="117"/>
      <c r="S5" s="117"/>
      <c r="T5" s="113"/>
      <c r="U5" s="113"/>
      <c r="V5" s="113"/>
      <c r="W5" s="114"/>
      <c r="X5" s="114"/>
      <c r="Y5" s="114"/>
      <c r="Z5" s="114"/>
    </row>
    <row r="6" spans="1:26" s="1" customFormat="1" ht="12.75">
      <c r="A6" s="105">
        <v>1</v>
      </c>
      <c r="B6" s="88">
        <f>pLinac_Nomen!X277</f>
        <v>300.483319881317</v>
      </c>
      <c r="C6" s="88">
        <f>pLinac_Nomen!Y277</f>
        <v>442.0853801029371</v>
      </c>
      <c r="D6" s="117"/>
      <c r="E6" s="130"/>
      <c r="F6" s="113"/>
      <c r="G6" s="113"/>
      <c r="H6" s="113"/>
      <c r="I6" s="113"/>
      <c r="J6" s="114"/>
      <c r="K6" s="113"/>
      <c r="L6" s="113"/>
      <c r="M6" s="113"/>
      <c r="N6" s="113"/>
      <c r="O6" s="113"/>
      <c r="P6" s="117"/>
      <c r="Q6" s="117"/>
      <c r="R6" s="117"/>
      <c r="S6" s="117"/>
      <c r="T6" s="113"/>
      <c r="U6" s="113"/>
      <c r="V6" s="113"/>
      <c r="W6" s="114"/>
      <c r="X6" s="114"/>
      <c r="Y6" s="114"/>
      <c r="Z6" s="114"/>
    </row>
    <row r="7" spans="1:26" s="1" customFormat="1" ht="12.75">
      <c r="A7" s="105">
        <v>2</v>
      </c>
      <c r="B7" s="88">
        <f>pLinac_Nomen!Z277</f>
        <v>301.2486884880565</v>
      </c>
      <c r="C7" s="88">
        <f>pLinac_Nomen!AA277</f>
        <v>442.08537589712404</v>
      </c>
      <c r="D7" s="117"/>
      <c r="E7" s="130"/>
      <c r="F7" s="113"/>
      <c r="G7" s="113"/>
      <c r="H7" s="113"/>
      <c r="I7" s="113"/>
      <c r="J7" s="114"/>
      <c r="K7" s="60"/>
      <c r="L7" s="60"/>
      <c r="M7" s="60"/>
      <c r="N7" s="113"/>
      <c r="O7" s="113"/>
      <c r="P7" s="117"/>
      <c r="Q7" s="117"/>
      <c r="R7" s="117"/>
      <c r="S7" s="117"/>
      <c r="T7" s="113"/>
      <c r="U7" s="113"/>
      <c r="V7" s="113"/>
      <c r="W7" s="114"/>
      <c r="X7" s="114"/>
      <c r="Y7" s="114"/>
      <c r="Z7" s="114"/>
    </row>
    <row r="8" spans="1:26" s="1" customFormat="1" ht="12.75">
      <c r="A8" s="105">
        <v>3</v>
      </c>
      <c r="B8" s="88">
        <f>B6+$G$9</f>
        <v>300.86600328131703</v>
      </c>
      <c r="C8" s="88">
        <f>C6+$G$8</f>
        <v>443.00925963293713</v>
      </c>
      <c r="D8" s="117"/>
      <c r="E8" s="130"/>
      <c r="F8" s="104" t="s">
        <v>190</v>
      </c>
      <c r="G8" s="104">
        <f>0.92387953</f>
        <v>0.92387953</v>
      </c>
      <c r="H8" s="113"/>
      <c r="I8" s="113"/>
      <c r="J8" s="114"/>
      <c r="K8" s="60"/>
      <c r="L8" s="60"/>
      <c r="M8" s="60"/>
      <c r="N8" s="113"/>
      <c r="O8" s="113"/>
      <c r="P8" s="117"/>
      <c r="Q8" s="117"/>
      <c r="R8" s="117"/>
      <c r="S8" s="117"/>
      <c r="T8" s="113"/>
      <c r="U8" s="113"/>
      <c r="V8" s="113"/>
      <c r="W8" s="114"/>
      <c r="X8" s="114"/>
      <c r="Y8" s="114"/>
      <c r="Z8" s="114"/>
    </row>
    <row r="9" spans="1:26" s="1" customFormat="1" ht="12.75">
      <c r="A9" s="105">
        <v>4</v>
      </c>
      <c r="B9" s="161">
        <f>pLinac_Nomen!X291</f>
        <v>303.60458130667314</v>
      </c>
      <c r="C9" s="161">
        <f>pLinac_Nomen!Y291</f>
        <v>443.06121865326094</v>
      </c>
      <c r="D9" s="150"/>
      <c r="E9" s="130"/>
      <c r="F9" s="104" t="s">
        <v>191</v>
      </c>
      <c r="G9" s="104">
        <v>0.3826834</v>
      </c>
      <c r="H9" s="113"/>
      <c r="I9" s="113"/>
      <c r="J9" s="114"/>
      <c r="K9" s="60"/>
      <c r="L9" s="60"/>
      <c r="M9" s="60"/>
      <c r="N9" s="113"/>
      <c r="O9" s="113"/>
      <c r="P9" s="117"/>
      <c r="Q9" s="117"/>
      <c r="R9" s="117"/>
      <c r="S9" s="117"/>
      <c r="T9" s="113"/>
      <c r="U9" s="113"/>
      <c r="V9" s="113"/>
      <c r="W9" s="114"/>
      <c r="X9" s="114"/>
      <c r="Y9" s="114"/>
      <c r="Z9" s="114"/>
    </row>
    <row r="10" spans="1:26" s="1" customFormat="1" ht="12.75">
      <c r="A10" s="105">
        <v>5</v>
      </c>
      <c r="B10" s="161">
        <f>pLinac_Nomen!Z291</f>
        <v>304.14577566497314</v>
      </c>
      <c r="C10" s="161">
        <f>pLinac_Nomen!AA291</f>
        <v>443.6024189588265</v>
      </c>
      <c r="D10" s="150"/>
      <c r="E10" s="130"/>
      <c r="F10" s="113"/>
      <c r="G10" s="113"/>
      <c r="H10" s="113"/>
      <c r="I10" s="113"/>
      <c r="J10" s="114"/>
      <c r="K10" s="60"/>
      <c r="L10" s="60"/>
      <c r="M10" s="60"/>
      <c r="N10" s="113"/>
      <c r="O10" s="113"/>
      <c r="P10" s="117"/>
      <c r="Q10" s="117"/>
      <c r="R10" s="117"/>
      <c r="S10" s="117"/>
      <c r="T10" s="113"/>
      <c r="U10" s="113"/>
      <c r="V10" s="113"/>
      <c r="W10" s="114"/>
      <c r="X10" s="114"/>
      <c r="Y10" s="114"/>
      <c r="Z10" s="114"/>
    </row>
    <row r="11" spans="1:26" s="1" customFormat="1" ht="12.75">
      <c r="A11" s="105">
        <v>6</v>
      </c>
      <c r="B11" s="161">
        <f>B10-$G$8</f>
        <v>303.2218961349731</v>
      </c>
      <c r="C11" s="161">
        <f>C10+$G$9</f>
        <v>443.9851023588265</v>
      </c>
      <c r="D11" s="150"/>
      <c r="E11" s="130"/>
      <c r="F11" s="113"/>
      <c r="G11" s="113"/>
      <c r="H11" s="113"/>
      <c r="I11" s="113"/>
      <c r="J11" s="114"/>
      <c r="K11" s="60"/>
      <c r="L11" s="60"/>
      <c r="M11" s="149"/>
      <c r="N11" s="113"/>
      <c r="O11" s="113"/>
      <c r="P11" s="117"/>
      <c r="Q11" s="117"/>
      <c r="R11" s="117"/>
      <c r="S11" s="117"/>
      <c r="T11" s="113"/>
      <c r="U11" s="113"/>
      <c r="V11" s="113"/>
      <c r="W11" s="114"/>
      <c r="X11" s="114"/>
      <c r="Y11" s="114"/>
      <c r="Z11" s="114"/>
    </row>
    <row r="12" spans="1:26" s="1" customFormat="1" ht="12.75">
      <c r="A12" s="105">
        <v>7</v>
      </c>
      <c r="B12" s="161">
        <f>(pLinac_Nomen!X257+pLinac_Nomen!Z257)/2</f>
        <v>303.07306720108977</v>
      </c>
      <c r="C12" s="161">
        <f>(pLinac_Nomen!Y257+pLinac_Nomen!AA257)/2</f>
        <v>441.01267163905374</v>
      </c>
      <c r="D12" s="111"/>
      <c r="E12" s="130"/>
      <c r="F12" s="113"/>
      <c r="G12" s="113"/>
      <c r="H12" s="113"/>
      <c r="I12" s="113"/>
      <c r="J12" s="115"/>
      <c r="K12" s="60"/>
      <c r="L12" s="60"/>
      <c r="M12" s="149"/>
      <c r="N12" s="113"/>
      <c r="O12" s="113"/>
      <c r="P12" s="117"/>
      <c r="Q12" s="117"/>
      <c r="R12" s="117"/>
      <c r="S12" s="117"/>
      <c r="T12" s="113"/>
      <c r="U12" s="113"/>
      <c r="V12" s="113"/>
      <c r="W12" s="114"/>
      <c r="X12" s="114"/>
      <c r="Y12" s="114"/>
      <c r="Z12" s="114"/>
    </row>
    <row r="13" spans="1:26" s="1" customFormat="1" ht="12.75">
      <c r="A13" s="105">
        <v>8</v>
      </c>
      <c r="B13" s="161">
        <f>pLinac_Nomen!Z273</f>
        <v>309.1595855605146</v>
      </c>
      <c r="C13" s="161">
        <f>pLinac_Nomen!AA273</f>
        <v>438.4915531847988</v>
      </c>
      <c r="D13" s="150"/>
      <c r="E13" s="130"/>
      <c r="F13" s="113"/>
      <c r="G13" s="113"/>
      <c r="H13" s="113"/>
      <c r="I13" s="113"/>
      <c r="J13" s="116"/>
      <c r="K13" s="60"/>
      <c r="L13" s="60"/>
      <c r="M13" s="149"/>
      <c r="N13" s="113"/>
      <c r="O13" s="113"/>
      <c r="P13" s="117"/>
      <c r="Q13" s="117"/>
      <c r="R13" s="117"/>
      <c r="S13" s="117"/>
      <c r="T13" s="113"/>
      <c r="U13" s="113"/>
      <c r="V13" s="113"/>
      <c r="W13" s="114"/>
      <c r="X13" s="114"/>
      <c r="Y13" s="114"/>
      <c r="Z13" s="114"/>
    </row>
    <row r="14" spans="1:26" s="1" customFormat="1" ht="12.75">
      <c r="A14" s="105">
        <v>9</v>
      </c>
      <c r="B14" s="161">
        <f>pLinac_Nomen!X4</f>
        <v>268.2543542751133</v>
      </c>
      <c r="C14" s="161">
        <f>pLinac_Nomen!Y4</f>
        <v>455.4350547696584</v>
      </c>
      <c r="D14" s="150"/>
      <c r="E14" s="130"/>
      <c r="F14" s="113"/>
      <c r="G14" s="113"/>
      <c r="H14" s="113"/>
      <c r="I14" s="113"/>
      <c r="J14" s="114"/>
      <c r="K14" s="113"/>
      <c r="L14" s="113"/>
      <c r="M14" s="113"/>
      <c r="N14" s="113"/>
      <c r="O14" s="113"/>
      <c r="P14" s="117"/>
      <c r="Q14" s="117"/>
      <c r="R14" s="117"/>
      <c r="S14" s="117"/>
      <c r="T14" s="113"/>
      <c r="U14" s="113"/>
      <c r="V14" s="113"/>
      <c r="W14" s="114"/>
      <c r="X14" s="114"/>
      <c r="Y14" s="114"/>
      <c r="Z14" s="114"/>
    </row>
    <row r="15" spans="1:26" s="1" customFormat="1" ht="12.75">
      <c r="A15" s="110"/>
      <c r="B15" s="150"/>
      <c r="C15" s="150"/>
      <c r="D15" s="150"/>
      <c r="E15" s="130"/>
      <c r="F15" s="113"/>
      <c r="G15" s="113"/>
      <c r="H15" s="113"/>
      <c r="I15" s="113"/>
      <c r="J15" s="114"/>
      <c r="K15" s="113"/>
      <c r="L15" s="113"/>
      <c r="M15" s="113"/>
      <c r="N15" s="113"/>
      <c r="O15" s="113"/>
      <c r="P15" s="117"/>
      <c r="Q15" s="117"/>
      <c r="R15" s="117"/>
      <c r="S15" s="117"/>
      <c r="T15" s="113"/>
      <c r="U15" s="113"/>
      <c r="V15" s="113"/>
      <c r="W15" s="114"/>
      <c r="X15" s="114"/>
      <c r="Y15" s="114"/>
      <c r="Z15" s="114"/>
    </row>
    <row r="16" spans="1:26" s="1" customFormat="1" ht="12.75">
      <c r="A16" s="110"/>
      <c r="B16" s="150"/>
      <c r="C16" s="150"/>
      <c r="D16" s="150"/>
      <c r="E16" s="130"/>
      <c r="F16" s="113"/>
      <c r="G16" s="113"/>
      <c r="H16" s="113"/>
      <c r="I16" s="113"/>
      <c r="J16" s="114"/>
      <c r="K16" s="113"/>
      <c r="L16" s="113"/>
      <c r="M16" s="113"/>
      <c r="N16" s="113"/>
      <c r="O16" s="113"/>
      <c r="P16" s="117"/>
      <c r="Q16" s="117"/>
      <c r="R16" s="117"/>
      <c r="S16" s="117"/>
      <c r="T16" s="113"/>
      <c r="U16" s="113"/>
      <c r="V16" s="113"/>
      <c r="W16" s="114"/>
      <c r="X16" s="114"/>
      <c r="Y16" s="114"/>
      <c r="Z16" s="114"/>
    </row>
    <row r="17" spans="1:26" s="1" customFormat="1" ht="12.75">
      <c r="A17" s="110"/>
      <c r="B17" s="150"/>
      <c r="C17" s="150"/>
      <c r="D17" s="150"/>
      <c r="E17" s="130"/>
      <c r="F17" s="113"/>
      <c r="G17" s="113"/>
      <c r="H17" s="113"/>
      <c r="I17" s="113"/>
      <c r="J17" s="114"/>
      <c r="K17" s="152"/>
      <c r="L17" s="152"/>
      <c r="M17" s="113"/>
      <c r="N17" s="113"/>
      <c r="O17" s="113"/>
      <c r="P17" s="117"/>
      <c r="Q17" s="117"/>
      <c r="R17" s="117"/>
      <c r="S17" s="117"/>
      <c r="T17" s="113"/>
      <c r="U17" s="113"/>
      <c r="V17" s="113"/>
      <c r="W17" s="114"/>
      <c r="X17" s="114"/>
      <c r="Y17" s="114"/>
      <c r="Z17" s="114"/>
    </row>
    <row r="18" spans="1:26" s="1" customFormat="1" ht="12.75">
      <c r="A18" s="110"/>
      <c r="B18" s="150"/>
      <c r="C18" s="150"/>
      <c r="D18" s="150"/>
      <c r="E18" s="130"/>
      <c r="F18" s="113"/>
      <c r="G18" s="113"/>
      <c r="H18" s="113"/>
      <c r="I18" s="113"/>
      <c r="J18" s="114"/>
      <c r="K18" s="113"/>
      <c r="L18" s="113"/>
      <c r="M18" s="113"/>
      <c r="N18" s="113"/>
      <c r="O18" s="113"/>
      <c r="P18" s="117"/>
      <c r="Q18" s="117"/>
      <c r="R18" s="117"/>
      <c r="S18" s="117"/>
      <c r="T18" s="113"/>
      <c r="U18" s="113"/>
      <c r="V18" s="113"/>
      <c r="W18" s="114"/>
      <c r="X18" s="114"/>
      <c r="Y18" s="114"/>
      <c r="Z18" s="114"/>
    </row>
    <row r="19" spans="1:26" s="1" customFormat="1" ht="12.75">
      <c r="A19" s="99" t="s">
        <v>192</v>
      </c>
      <c r="B19" s="117" t="s">
        <v>193</v>
      </c>
      <c r="C19" s="146">
        <f>SQRT(POWER((B12-B6),2)+POWER((C12-C6),2))</f>
        <v>2.8031222999999827</v>
      </c>
      <c r="D19" s="117"/>
      <c r="E19" s="130"/>
      <c r="F19" s="113"/>
      <c r="G19" s="113"/>
      <c r="H19" s="113"/>
      <c r="I19" s="113"/>
      <c r="J19" s="114"/>
      <c r="K19" s="113"/>
      <c r="L19" s="113"/>
      <c r="M19" s="113"/>
      <c r="N19" s="113"/>
      <c r="O19" s="113"/>
      <c r="P19" s="117"/>
      <c r="Q19" s="117"/>
      <c r="R19" s="117"/>
      <c r="S19" s="117"/>
      <c r="T19" s="113"/>
      <c r="U19" s="113"/>
      <c r="V19" s="113"/>
      <c r="W19" s="114"/>
      <c r="X19" s="114"/>
      <c r="Y19" s="114"/>
      <c r="Z19" s="114"/>
    </row>
    <row r="20" spans="1:26" s="1" customFormat="1" ht="12.75">
      <c r="A20" s="99"/>
      <c r="B20" s="111" t="s">
        <v>194</v>
      </c>
      <c r="C20" s="146">
        <f>SQRT(POWER((B12-B10),2)+POWER((C12-C10),2))</f>
        <v>2.8031222999999827</v>
      </c>
      <c r="D20" s="150"/>
      <c r="E20" s="130"/>
      <c r="F20" s="113"/>
      <c r="G20" s="113"/>
      <c r="H20" s="113"/>
      <c r="I20" s="113"/>
      <c r="J20" s="114"/>
      <c r="K20" s="113"/>
      <c r="L20" s="113"/>
      <c r="M20" s="113"/>
      <c r="N20" s="113"/>
      <c r="O20" s="113"/>
      <c r="P20" s="117"/>
      <c r="Q20" s="117"/>
      <c r="R20" s="117"/>
      <c r="S20" s="117"/>
      <c r="T20" s="113"/>
      <c r="U20" s="113"/>
      <c r="V20" s="113"/>
      <c r="W20" s="114"/>
      <c r="X20" s="114"/>
      <c r="Y20" s="114"/>
      <c r="Z20" s="114"/>
    </row>
    <row r="21" spans="1:26" s="1" customFormat="1" ht="12.75">
      <c r="A21" s="151"/>
      <c r="B21" s="150"/>
      <c r="C21" s="150"/>
      <c r="D21" s="150"/>
      <c r="E21" s="130"/>
      <c r="F21" s="113"/>
      <c r="G21" s="113"/>
      <c r="H21" s="113"/>
      <c r="I21" s="113"/>
      <c r="J21" s="114"/>
      <c r="K21" s="60"/>
      <c r="L21" s="60"/>
      <c r="M21" s="60"/>
      <c r="N21" s="113"/>
      <c r="O21" s="113"/>
      <c r="P21" s="117"/>
      <c r="Q21" s="117"/>
      <c r="R21" s="117"/>
      <c r="S21" s="117"/>
      <c r="T21" s="113"/>
      <c r="U21" s="113"/>
      <c r="V21" s="113"/>
      <c r="W21" s="114"/>
      <c r="X21" s="114"/>
      <c r="Y21" s="114"/>
      <c r="Z21" s="114"/>
    </row>
    <row r="22" spans="1:26" s="1" customFormat="1" ht="12.75">
      <c r="A22" s="151"/>
      <c r="B22" s="150"/>
      <c r="C22" s="150"/>
      <c r="D22" s="150"/>
      <c r="E22" s="130"/>
      <c r="F22" s="113"/>
      <c r="G22" s="113"/>
      <c r="H22" s="113"/>
      <c r="I22" s="113"/>
      <c r="J22" s="114"/>
      <c r="K22" s="60"/>
      <c r="L22" s="60"/>
      <c r="M22" s="149"/>
      <c r="N22" s="113"/>
      <c r="O22" s="113"/>
      <c r="P22" s="117"/>
      <c r="Q22" s="117"/>
      <c r="R22" s="117"/>
      <c r="S22" s="117"/>
      <c r="T22" s="113"/>
      <c r="U22" s="113"/>
      <c r="V22" s="113"/>
      <c r="W22" s="114"/>
      <c r="X22" s="114"/>
      <c r="Y22" s="114"/>
      <c r="Z22" s="114"/>
    </row>
    <row r="23" spans="1:26" s="1" customFormat="1" ht="12.75">
      <c r="A23" s="99"/>
      <c r="B23" s="117"/>
      <c r="C23" s="117"/>
      <c r="D23" s="117"/>
      <c r="E23" s="130"/>
      <c r="F23" s="113"/>
      <c r="G23" s="113"/>
      <c r="H23" s="113"/>
      <c r="I23" s="113"/>
      <c r="J23" s="114"/>
      <c r="K23" s="60"/>
      <c r="L23" s="60"/>
      <c r="M23" s="149"/>
      <c r="N23" s="113"/>
      <c r="O23" s="113"/>
      <c r="P23" s="117"/>
      <c r="Q23" s="117"/>
      <c r="R23" s="117"/>
      <c r="S23" s="117"/>
      <c r="T23" s="113"/>
      <c r="U23" s="113"/>
      <c r="V23" s="113"/>
      <c r="W23" s="114"/>
      <c r="X23" s="114"/>
      <c r="Y23" s="114"/>
      <c r="Z23" s="114"/>
    </row>
    <row r="24" spans="1:26" s="1" customFormat="1" ht="12.75">
      <c r="A24" s="2"/>
      <c r="B24" s="105" t="s">
        <v>204</v>
      </c>
      <c r="C24" s="105" t="s">
        <v>205</v>
      </c>
      <c r="D24" s="105" t="s">
        <v>206</v>
      </c>
      <c r="E24" s="130"/>
      <c r="F24" s="113"/>
      <c r="G24" s="113"/>
      <c r="H24" s="113"/>
      <c r="I24" s="113"/>
      <c r="J24" s="114"/>
      <c r="K24" s="60"/>
      <c r="L24" s="60"/>
      <c r="M24" s="149"/>
      <c r="N24" s="113"/>
      <c r="O24" s="113"/>
      <c r="P24" s="117"/>
      <c r="Q24" s="117"/>
      <c r="R24" s="117"/>
      <c r="S24" s="117"/>
      <c r="T24" s="113"/>
      <c r="U24" s="113"/>
      <c r="V24" s="113"/>
      <c r="W24" s="114"/>
      <c r="X24" s="114"/>
      <c r="Y24" s="114"/>
      <c r="Z24" s="114"/>
    </row>
    <row r="25" spans="1:26" s="1" customFormat="1" ht="12.75">
      <c r="A25" s="46"/>
      <c r="B25" s="168"/>
      <c r="C25" s="168"/>
      <c r="D25" s="168"/>
      <c r="E25" s="130"/>
      <c r="F25" s="113"/>
      <c r="G25" s="113"/>
      <c r="H25" s="113"/>
      <c r="I25" s="113"/>
      <c r="J25" s="114"/>
      <c r="K25" s="113"/>
      <c r="L25" s="113"/>
      <c r="M25" s="113"/>
      <c r="N25" s="113"/>
      <c r="O25" s="113"/>
      <c r="P25" s="117"/>
      <c r="Q25" s="117"/>
      <c r="R25" s="117"/>
      <c r="S25" s="117"/>
      <c r="T25" s="113"/>
      <c r="U25" s="113"/>
      <c r="V25" s="113"/>
      <c r="W25" s="114"/>
      <c r="X25" s="114"/>
      <c r="Y25" s="114"/>
      <c r="Z25" s="114"/>
    </row>
    <row r="26" spans="1:26" s="1" customFormat="1" ht="12.75">
      <c r="A26" s="169" t="s">
        <v>25</v>
      </c>
      <c r="B26" s="171">
        <f>pLinac_Nomen!N24</f>
        <v>27.910503300000002</v>
      </c>
      <c r="C26" s="171">
        <v>-0.3</v>
      </c>
      <c r="D26" s="171">
        <f>B26+C26</f>
        <v>27.6105033</v>
      </c>
      <c r="E26" s="130"/>
      <c r="F26" s="113"/>
      <c r="G26" s="113"/>
      <c r="H26" s="113"/>
      <c r="I26" s="113"/>
      <c r="J26" s="114"/>
      <c r="K26" s="113"/>
      <c r="L26" s="113"/>
      <c r="M26" s="113"/>
      <c r="N26" s="113"/>
      <c r="O26" s="113"/>
      <c r="P26" s="117"/>
      <c r="Q26" s="117"/>
      <c r="R26" s="117"/>
      <c r="S26" s="117"/>
      <c r="T26" s="113"/>
      <c r="U26" s="113"/>
      <c r="V26" s="113"/>
      <c r="W26" s="114"/>
      <c r="X26" s="114"/>
      <c r="Y26" s="114"/>
      <c r="Z26" s="114"/>
    </row>
    <row r="27" spans="1:26" s="1" customFormat="1" ht="12.75">
      <c r="A27" s="169" t="s">
        <v>198</v>
      </c>
      <c r="B27" s="172">
        <f>pLinac_Nomen!N47</f>
        <v>24.899931300000002</v>
      </c>
      <c r="C27" s="172">
        <v>-0.3</v>
      </c>
      <c r="D27" s="171">
        <f aca="true" t="shared" si="0" ref="D27:D32">B27+C27</f>
        <v>24.5999313</v>
      </c>
      <c r="E27" s="130"/>
      <c r="F27" s="113"/>
      <c r="G27" s="113"/>
      <c r="H27" s="113"/>
      <c r="I27" s="113"/>
      <c r="J27" s="114"/>
      <c r="K27" s="113"/>
      <c r="L27" s="113"/>
      <c r="M27" s="113"/>
      <c r="N27" s="113"/>
      <c r="O27" s="113"/>
      <c r="P27" s="117"/>
      <c r="Q27" s="117"/>
      <c r="R27" s="117"/>
      <c r="S27" s="117"/>
      <c r="T27" s="113"/>
      <c r="U27" s="113"/>
      <c r="V27" s="113"/>
      <c r="W27" s="114"/>
      <c r="X27" s="114"/>
      <c r="Y27" s="114"/>
      <c r="Z27" s="114"/>
    </row>
    <row r="28" spans="1:26" s="1" customFormat="1" ht="12.75">
      <c r="A28" s="169" t="s">
        <v>199</v>
      </c>
      <c r="B28" s="172">
        <f>pLinac_Nomen!N80</f>
        <v>22.505625050000003</v>
      </c>
      <c r="C28" s="172">
        <v>-0.3</v>
      </c>
      <c r="D28" s="171">
        <f t="shared" si="0"/>
        <v>22.205625050000002</v>
      </c>
      <c r="E28" s="130"/>
      <c r="F28" s="113"/>
      <c r="G28" s="113"/>
      <c r="H28" s="113"/>
      <c r="I28" s="113"/>
      <c r="J28" s="114"/>
      <c r="K28" s="113"/>
      <c r="L28" s="113"/>
      <c r="M28" s="113"/>
      <c r="N28" s="113"/>
      <c r="O28" s="113"/>
      <c r="P28" s="117"/>
      <c r="Q28" s="117"/>
      <c r="R28" s="117"/>
      <c r="S28" s="117"/>
      <c r="T28" s="113"/>
      <c r="U28" s="113"/>
      <c r="V28" s="113"/>
      <c r="W28" s="114"/>
      <c r="X28" s="114"/>
      <c r="Y28" s="114"/>
      <c r="Z28" s="114"/>
    </row>
    <row r="29" spans="1:26" s="1" customFormat="1" ht="12.75">
      <c r="A29" s="169" t="s">
        <v>200</v>
      </c>
      <c r="B29" s="173">
        <f>pLinac_Nomen!N117</f>
        <v>18.9501268</v>
      </c>
      <c r="C29" s="173">
        <v>-0.3</v>
      </c>
      <c r="D29" s="171">
        <f t="shared" si="0"/>
        <v>18.6501268</v>
      </c>
      <c r="E29" s="130"/>
      <c r="F29" s="113"/>
      <c r="G29" s="113"/>
      <c r="H29" s="113"/>
      <c r="I29" s="113"/>
      <c r="J29" s="114"/>
      <c r="K29" s="113"/>
      <c r="L29" s="113"/>
      <c r="M29" s="113"/>
      <c r="N29" s="113"/>
      <c r="O29" s="113"/>
      <c r="P29" s="117"/>
      <c r="Q29" s="117"/>
      <c r="R29" s="117"/>
      <c r="S29" s="117"/>
      <c r="T29" s="113"/>
      <c r="U29" s="113"/>
      <c r="V29" s="113"/>
      <c r="W29" s="114"/>
      <c r="X29" s="114"/>
      <c r="Y29" s="114"/>
      <c r="Z29" s="114"/>
    </row>
    <row r="30" spans="1:26" s="1" customFormat="1" ht="12.75">
      <c r="A30" s="169" t="s">
        <v>201</v>
      </c>
      <c r="B30" s="173">
        <f>pLinac_Nomen!N168</f>
        <v>12.670488299999997</v>
      </c>
      <c r="C30" s="173">
        <v>0.3</v>
      </c>
      <c r="D30" s="171">
        <f t="shared" si="0"/>
        <v>12.970488299999998</v>
      </c>
      <c r="E30" s="130"/>
      <c r="F30" s="113"/>
      <c r="G30" s="113"/>
      <c r="H30" s="113"/>
      <c r="I30" s="113"/>
      <c r="J30" s="114"/>
      <c r="K30" s="113"/>
      <c r="L30" s="113"/>
      <c r="M30" s="113"/>
      <c r="N30" s="113"/>
      <c r="O30" s="113"/>
      <c r="P30" s="117"/>
      <c r="Q30" s="117"/>
      <c r="R30" s="117"/>
      <c r="S30" s="117"/>
      <c r="T30" s="113"/>
      <c r="U30" s="113"/>
      <c r="V30" s="113"/>
      <c r="W30" s="114"/>
      <c r="X30" s="114"/>
      <c r="Y30" s="114"/>
      <c r="Z30" s="114"/>
    </row>
    <row r="31" spans="1:26" s="1" customFormat="1" ht="12.75">
      <c r="A31" s="169" t="s">
        <v>202</v>
      </c>
      <c r="B31" s="173">
        <f>pLinac_Nomen!N192</f>
        <v>9.509334549999998</v>
      </c>
      <c r="C31" s="173">
        <v>-0.3</v>
      </c>
      <c r="D31" s="171">
        <f t="shared" si="0"/>
        <v>9.209334549999998</v>
      </c>
      <c r="E31" s="130"/>
      <c r="F31" s="113"/>
      <c r="G31" s="113"/>
      <c r="H31" s="113"/>
      <c r="I31" s="113"/>
      <c r="J31" s="114"/>
      <c r="K31" s="113"/>
      <c r="L31" s="113"/>
      <c r="M31" s="113"/>
      <c r="N31" s="113"/>
      <c r="O31" s="113"/>
      <c r="P31" s="117"/>
      <c r="Q31" s="117"/>
      <c r="R31" s="117"/>
      <c r="S31" s="117"/>
      <c r="T31" s="113"/>
      <c r="U31" s="113"/>
      <c r="V31" s="113"/>
      <c r="W31" s="114"/>
      <c r="X31" s="114"/>
      <c r="Y31" s="114"/>
      <c r="Z31" s="114"/>
    </row>
    <row r="32" spans="1:26" ht="12.75">
      <c r="A32" s="169" t="s">
        <v>203</v>
      </c>
      <c r="B32" s="174">
        <f>pLinac_Nomen!N217</f>
        <v>5.999423549999997</v>
      </c>
      <c r="C32" s="174">
        <v>0.3</v>
      </c>
      <c r="D32" s="171">
        <f t="shared" si="0"/>
        <v>6.299423549999997</v>
      </c>
      <c r="E32" s="139"/>
      <c r="F32" s="118"/>
      <c r="G32" s="119"/>
      <c r="H32" s="118"/>
      <c r="I32" s="106"/>
      <c r="J32" s="117"/>
      <c r="K32" s="118"/>
      <c r="L32" s="118"/>
      <c r="M32" s="118"/>
      <c r="N32" s="113"/>
      <c r="O32" s="113"/>
      <c r="P32" s="117"/>
      <c r="Q32" s="117"/>
      <c r="R32" s="117"/>
      <c r="S32" s="117"/>
      <c r="T32" s="118"/>
      <c r="U32" s="118"/>
      <c r="V32" s="118"/>
      <c r="W32" s="114"/>
      <c r="X32" s="114"/>
      <c r="Y32" s="114"/>
      <c r="Z32" s="114"/>
    </row>
    <row r="33" spans="1:26" ht="12.75">
      <c r="A33" s="153"/>
      <c r="B33" s="150"/>
      <c r="C33" s="150"/>
      <c r="D33" s="150"/>
      <c r="E33" s="139"/>
      <c r="F33" s="118"/>
      <c r="G33" s="119"/>
      <c r="H33" s="118"/>
      <c r="I33" s="106"/>
      <c r="J33" s="117"/>
      <c r="K33" s="118"/>
      <c r="L33" s="118"/>
      <c r="M33" s="118"/>
      <c r="N33" s="118"/>
      <c r="O33" s="118"/>
      <c r="P33" s="117"/>
      <c r="Q33" s="117"/>
      <c r="R33" s="117"/>
      <c r="S33" s="117"/>
      <c r="T33" s="118"/>
      <c r="U33" s="118"/>
      <c r="V33" s="118"/>
      <c r="W33" s="114"/>
      <c r="X33" s="114"/>
      <c r="Y33" s="114"/>
      <c r="Z33" s="114"/>
    </row>
    <row r="34" spans="1:26" ht="12.75">
      <c r="A34" s="131"/>
      <c r="B34" s="111"/>
      <c r="C34" s="111"/>
      <c r="D34" s="111"/>
      <c r="E34" s="137"/>
      <c r="F34" s="118"/>
      <c r="G34" s="119"/>
      <c r="H34" s="118"/>
      <c r="I34" s="106"/>
      <c r="J34" s="117"/>
      <c r="K34" s="118"/>
      <c r="L34" s="118"/>
      <c r="M34" s="118"/>
      <c r="N34" s="118"/>
      <c r="O34" s="118"/>
      <c r="P34" s="117"/>
      <c r="Q34" s="117"/>
      <c r="R34" s="117"/>
      <c r="S34" s="117"/>
      <c r="T34" s="118"/>
      <c r="U34" s="118"/>
      <c r="V34" s="118"/>
      <c r="W34" s="114"/>
      <c r="X34" s="114"/>
      <c r="Y34" s="114"/>
      <c r="Z34" s="114"/>
    </row>
    <row r="35" spans="1:26" ht="12.75">
      <c r="A35" s="133"/>
      <c r="B35" s="105" t="s">
        <v>207</v>
      </c>
      <c r="C35" s="111"/>
      <c r="D35" s="111"/>
      <c r="E35" s="137"/>
      <c r="F35" s="119"/>
      <c r="G35" s="119"/>
      <c r="H35" s="118"/>
      <c r="I35" s="106"/>
      <c r="J35" s="117"/>
      <c r="K35" s="118"/>
      <c r="L35" s="119"/>
      <c r="M35" s="118"/>
      <c r="N35" s="118"/>
      <c r="O35" s="118"/>
      <c r="P35" s="117"/>
      <c r="Q35" s="117"/>
      <c r="R35" s="117"/>
      <c r="S35" s="117"/>
      <c r="T35" s="118"/>
      <c r="U35" s="118"/>
      <c r="V35" s="118"/>
      <c r="W35" s="114"/>
      <c r="X35" s="114"/>
      <c r="Y35" s="114"/>
      <c r="Z35" s="114"/>
    </row>
    <row r="36" spans="1:26" ht="12.75">
      <c r="A36" s="135"/>
      <c r="B36" s="170"/>
      <c r="C36" s="111"/>
      <c r="D36" s="111"/>
      <c r="E36" s="137"/>
      <c r="F36" s="119"/>
      <c r="G36" s="119"/>
      <c r="H36" s="118"/>
      <c r="I36" s="106"/>
      <c r="J36" s="117"/>
      <c r="K36" s="118"/>
      <c r="L36" s="118"/>
      <c r="M36" s="118"/>
      <c r="N36" s="118"/>
      <c r="O36" s="118"/>
      <c r="P36" s="117"/>
      <c r="Q36" s="117"/>
      <c r="R36" s="117"/>
      <c r="S36" s="117"/>
      <c r="T36" s="118"/>
      <c r="U36" s="118"/>
      <c r="V36" s="118"/>
      <c r="W36" s="114"/>
      <c r="X36" s="114"/>
      <c r="Y36" s="114"/>
      <c r="Z36" s="114"/>
    </row>
    <row r="37" spans="1:26" ht="12.75">
      <c r="A37" s="135"/>
      <c r="B37" s="170">
        <f>(3203.75-(pLinac_Nomen!B35+pLinac_Nomen!C36)/2)/100</f>
        <v>25.638568</v>
      </c>
      <c r="C37" s="111"/>
      <c r="D37" s="111"/>
      <c r="E37" s="137"/>
      <c r="F37" s="119"/>
      <c r="G37" s="119"/>
      <c r="H37" s="118"/>
      <c r="I37" s="106"/>
      <c r="J37" s="117"/>
      <c r="K37" s="118"/>
      <c r="L37" s="118"/>
      <c r="M37" s="118"/>
      <c r="N37" s="118"/>
      <c r="O37" s="113"/>
      <c r="P37" s="117"/>
      <c r="Q37" s="117"/>
      <c r="R37" s="117"/>
      <c r="S37" s="117"/>
      <c r="T37" s="118"/>
      <c r="U37" s="118"/>
      <c r="V37" s="118"/>
      <c r="W37" s="114"/>
      <c r="X37" s="114"/>
      <c r="Y37" s="114"/>
      <c r="Z37" s="114"/>
    </row>
    <row r="38" spans="1:26" ht="12.75">
      <c r="A38" s="153"/>
      <c r="B38" s="170">
        <f>(3203.75-(pLinac_Nomen!B49+pLinac_Nomen!C49)/2)/100</f>
        <v>24.933548000000002</v>
      </c>
      <c r="C38" s="150"/>
      <c r="D38" s="150"/>
      <c r="E38" s="139"/>
      <c r="F38" s="118"/>
      <c r="G38" s="119"/>
      <c r="H38" s="118"/>
      <c r="I38" s="106"/>
      <c r="J38" s="117"/>
      <c r="K38" s="118"/>
      <c r="L38" s="118"/>
      <c r="M38" s="118"/>
      <c r="N38" s="118"/>
      <c r="O38" s="118"/>
      <c r="P38" s="117"/>
      <c r="Q38" s="117"/>
      <c r="R38" s="117"/>
      <c r="S38" s="117"/>
      <c r="T38" s="118"/>
      <c r="U38" s="118"/>
      <c r="V38" s="118"/>
      <c r="W38" s="114"/>
      <c r="X38" s="114"/>
      <c r="Y38" s="114"/>
      <c r="Z38" s="114"/>
    </row>
    <row r="39" spans="1:26" ht="12.75">
      <c r="A39" s="153"/>
      <c r="B39" s="170">
        <f>(3203.75-(pLinac_Nomen!B64+pLinac_Nomen!C64)/2)/100</f>
        <v>23.817527999999996</v>
      </c>
      <c r="C39" s="150"/>
      <c r="D39" s="150"/>
      <c r="E39" s="139"/>
      <c r="F39" s="118"/>
      <c r="G39" s="119"/>
      <c r="H39" s="118"/>
      <c r="I39" s="106"/>
      <c r="J39" s="117"/>
      <c r="K39" s="118"/>
      <c r="L39" s="118"/>
      <c r="M39" s="118"/>
      <c r="N39" s="118"/>
      <c r="O39" s="118"/>
      <c r="P39" s="117"/>
      <c r="Q39" s="117"/>
      <c r="R39" s="117"/>
      <c r="S39" s="117"/>
      <c r="T39" s="118"/>
      <c r="U39" s="118"/>
      <c r="V39" s="118"/>
      <c r="W39" s="114"/>
      <c r="X39" s="114"/>
      <c r="Y39" s="114"/>
      <c r="Z39" s="114"/>
    </row>
    <row r="40" spans="1:26" ht="12.75">
      <c r="A40" s="153"/>
      <c r="B40" s="170">
        <f>(3203.75-(pLinac_Nomen!B82+pLinac_Nomen!C82)/2)/100</f>
        <v>22.505065</v>
      </c>
      <c r="C40" s="150"/>
      <c r="D40" s="150"/>
      <c r="E40" s="139"/>
      <c r="F40" s="118"/>
      <c r="G40" s="119"/>
      <c r="H40" s="118"/>
      <c r="I40" s="106"/>
      <c r="J40" s="117"/>
      <c r="K40" s="118"/>
      <c r="L40" s="118"/>
      <c r="M40" s="118"/>
      <c r="N40" s="118"/>
      <c r="O40" s="118"/>
      <c r="P40" s="117"/>
      <c r="Q40" s="117"/>
      <c r="R40" s="117"/>
      <c r="S40" s="117"/>
      <c r="T40" s="118"/>
      <c r="U40" s="118"/>
      <c r="V40" s="118"/>
      <c r="W40" s="114"/>
      <c r="X40" s="114"/>
      <c r="Y40" s="114"/>
      <c r="Z40" s="114"/>
    </row>
    <row r="41" spans="1:26" ht="12.75">
      <c r="A41" s="153"/>
      <c r="B41" s="170">
        <f>(3203.75-(pLinac_Nomen!B99+pLinac_Nomen!C99)/2)/100</f>
        <v>20.919784</v>
      </c>
      <c r="C41" s="150"/>
      <c r="D41" s="150"/>
      <c r="E41" s="139"/>
      <c r="F41" s="118"/>
      <c r="G41" s="119"/>
      <c r="H41" s="118" t="s">
        <v>233</v>
      </c>
      <c r="I41" s="106"/>
      <c r="J41" s="120"/>
      <c r="K41" s="118"/>
      <c r="L41" s="118"/>
      <c r="M41" s="118"/>
      <c r="N41" s="118"/>
      <c r="O41" s="118"/>
      <c r="P41" s="117"/>
      <c r="Q41" s="117"/>
      <c r="R41" s="117"/>
      <c r="S41" s="117"/>
      <c r="T41" s="118"/>
      <c r="U41" s="118"/>
      <c r="V41" s="118"/>
      <c r="W41" s="114"/>
      <c r="X41" s="114"/>
      <c r="Y41" s="114"/>
      <c r="Z41" s="114"/>
    </row>
    <row r="42" spans="1:26" ht="12.75">
      <c r="A42" s="153"/>
      <c r="B42" s="170">
        <f>(3203.75-(pLinac_Nomen!B119+pLinac_Nomen!C119)/2)/100</f>
        <v>18.947747999999997</v>
      </c>
      <c r="C42" s="150"/>
      <c r="D42" s="150"/>
      <c r="E42" s="139"/>
      <c r="F42" s="118"/>
      <c r="G42" s="119"/>
      <c r="H42" s="118"/>
      <c r="I42" s="106"/>
      <c r="J42" s="117"/>
      <c r="K42" s="118"/>
      <c r="L42" s="118"/>
      <c r="M42" s="118"/>
      <c r="N42" s="118"/>
      <c r="O42" s="118"/>
      <c r="P42" s="117"/>
      <c r="Q42" s="117"/>
      <c r="R42" s="117"/>
      <c r="S42" s="117"/>
      <c r="T42" s="118"/>
      <c r="U42" s="118"/>
      <c r="V42" s="118"/>
      <c r="W42" s="114"/>
      <c r="X42" s="114"/>
      <c r="Y42" s="114"/>
      <c r="Z42" s="114"/>
    </row>
    <row r="43" spans="1:26" ht="12.75">
      <c r="A43" s="153"/>
      <c r="B43" s="170">
        <f>(3203.75-(pLinac_Nomen!B139+pLinac_Nomen!C139)/2)/100</f>
        <v>16.59068999999999</v>
      </c>
      <c r="C43" s="150"/>
      <c r="D43" s="150"/>
      <c r="E43" s="139"/>
      <c r="F43" s="118"/>
      <c r="G43" s="119"/>
      <c r="H43" s="181">
        <v>40743</v>
      </c>
      <c r="I43" s="106" t="s">
        <v>234</v>
      </c>
      <c r="J43" s="117"/>
      <c r="K43" s="118"/>
      <c r="L43" s="118"/>
      <c r="M43" s="118"/>
      <c r="N43" s="118"/>
      <c r="O43" s="118"/>
      <c r="P43" s="117"/>
      <c r="Q43" s="117"/>
      <c r="R43" s="117"/>
      <c r="S43" s="117"/>
      <c r="T43" s="118"/>
      <c r="U43" s="118"/>
      <c r="V43" s="118"/>
      <c r="W43" s="114"/>
      <c r="X43" s="114"/>
      <c r="Y43" s="114"/>
      <c r="Z43" s="114"/>
    </row>
    <row r="44" spans="1:26" ht="12.75">
      <c r="A44" s="153"/>
      <c r="B44" s="170">
        <f>(3203.75-(pLinac_Nomen!B166+pLinac_Nomen!C166)/2)/100</f>
        <v>14.138274999999995</v>
      </c>
      <c r="C44" s="150"/>
      <c r="D44" s="150"/>
      <c r="E44" s="139"/>
      <c r="F44" s="118"/>
      <c r="G44" s="119"/>
      <c r="H44" s="118"/>
      <c r="I44" s="106" t="s">
        <v>235</v>
      </c>
      <c r="J44" s="117"/>
      <c r="K44" s="118"/>
      <c r="L44" s="118"/>
      <c r="M44" s="118"/>
      <c r="N44" s="118"/>
      <c r="O44" s="118"/>
      <c r="P44" s="117"/>
      <c r="Q44" s="117"/>
      <c r="R44" s="117"/>
      <c r="S44" s="117"/>
      <c r="T44" s="118"/>
      <c r="U44" s="118"/>
      <c r="V44" s="118"/>
      <c r="W44" s="114"/>
      <c r="X44" s="114"/>
      <c r="Y44" s="114"/>
      <c r="Z44" s="114"/>
    </row>
    <row r="45" spans="1:26" ht="12.75">
      <c r="A45" s="153"/>
      <c r="B45" s="170">
        <f>(3203.75-(pLinac_Nomen!B189+pLinac_Nomen!C189)/2)/100</f>
        <v>11.211762999999992</v>
      </c>
      <c r="C45" s="150"/>
      <c r="D45" s="150"/>
      <c r="E45" s="139"/>
      <c r="F45" s="118"/>
      <c r="G45" s="119"/>
      <c r="H45" s="181">
        <v>40744</v>
      </c>
      <c r="I45" s="106" t="s">
        <v>236</v>
      </c>
      <c r="J45" s="117"/>
      <c r="K45" s="118"/>
      <c r="L45" s="118"/>
      <c r="M45" s="118"/>
      <c r="N45" s="118"/>
      <c r="O45" s="118"/>
      <c r="P45" s="117"/>
      <c r="Q45" s="117"/>
      <c r="R45" s="117"/>
      <c r="S45" s="117"/>
      <c r="T45" s="118"/>
      <c r="U45" s="118"/>
      <c r="V45" s="118"/>
      <c r="W45" s="114"/>
      <c r="X45" s="114"/>
      <c r="Y45" s="114"/>
      <c r="Z45" s="114"/>
    </row>
    <row r="46" spans="1:26" ht="12.75">
      <c r="A46" s="153"/>
      <c r="B46" s="170">
        <f>(3203.75-(pLinac_Nomen!B214+pLinac_Nomen!C214)/2)/100</f>
        <v>7.835014999999994</v>
      </c>
      <c r="C46" s="150"/>
      <c r="D46" s="150"/>
      <c r="E46" s="139"/>
      <c r="F46" s="118"/>
      <c r="G46" s="119"/>
      <c r="H46" s="181">
        <v>40781</v>
      </c>
      <c r="I46" s="106" t="s">
        <v>238</v>
      </c>
      <c r="J46" s="117"/>
      <c r="K46" s="118"/>
      <c r="L46" s="118"/>
      <c r="M46" s="118"/>
      <c r="N46" s="118"/>
      <c r="O46" s="118"/>
      <c r="P46" s="117"/>
      <c r="Q46" s="117"/>
      <c r="R46" s="117"/>
      <c r="S46" s="117"/>
      <c r="T46" s="118"/>
      <c r="U46" s="118"/>
      <c r="V46" s="118"/>
      <c r="W46" s="114"/>
      <c r="X46" s="114"/>
      <c r="Y46" s="114"/>
      <c r="Z46" s="114"/>
    </row>
    <row r="47" spans="1:26" ht="12.75">
      <c r="A47" s="153"/>
      <c r="B47" s="170">
        <f>(3203.75-(pLinac_Nomen!B239+pLinac_Nomen!C239)/2)/100</f>
        <v>4.137118999999993</v>
      </c>
      <c r="C47" s="150"/>
      <c r="D47" s="150"/>
      <c r="E47" s="139"/>
      <c r="F47" s="118"/>
      <c r="G47" s="119"/>
      <c r="H47" s="181">
        <v>40805</v>
      </c>
      <c r="I47" s="106" t="s">
        <v>263</v>
      </c>
      <c r="J47" s="117"/>
      <c r="K47" s="118"/>
      <c r="L47" s="118"/>
      <c r="M47" s="118"/>
      <c r="N47" s="118"/>
      <c r="O47" s="118"/>
      <c r="P47" s="117"/>
      <c r="Q47" s="117"/>
      <c r="R47" s="117"/>
      <c r="S47" s="117"/>
      <c r="T47" s="118"/>
      <c r="U47" s="118"/>
      <c r="V47" s="118"/>
      <c r="W47" s="114"/>
      <c r="X47" s="114"/>
      <c r="Y47" s="114"/>
      <c r="Z47" s="114"/>
    </row>
    <row r="48" spans="1:26" ht="12.75">
      <c r="A48" s="134"/>
      <c r="B48" s="111"/>
      <c r="C48" s="111"/>
      <c r="D48" s="111"/>
      <c r="E48" s="137"/>
      <c r="F48" s="118"/>
      <c r="G48" s="119"/>
      <c r="H48" s="118"/>
      <c r="I48" s="106" t="s">
        <v>264</v>
      </c>
      <c r="J48" s="117"/>
      <c r="K48" s="118"/>
      <c r="L48" s="118"/>
      <c r="M48" s="118"/>
      <c r="N48" s="113"/>
      <c r="O48" s="113"/>
      <c r="P48" s="117"/>
      <c r="Q48" s="117"/>
      <c r="R48" s="117"/>
      <c r="S48" s="117"/>
      <c r="T48" s="118"/>
      <c r="U48" s="118"/>
      <c r="V48" s="118"/>
      <c r="W48" s="114"/>
      <c r="X48" s="114"/>
      <c r="Y48" s="114"/>
      <c r="Z48" s="114"/>
    </row>
    <row r="49" spans="1:26" ht="12.75">
      <c r="A49" s="135"/>
      <c r="B49" s="111"/>
      <c r="C49" s="111"/>
      <c r="D49" s="111"/>
      <c r="E49" s="137"/>
      <c r="F49" s="119"/>
      <c r="G49" s="119"/>
      <c r="H49" s="118"/>
      <c r="I49" s="106" t="s">
        <v>265</v>
      </c>
      <c r="J49" s="117"/>
      <c r="K49" s="118"/>
      <c r="L49" s="118"/>
      <c r="M49" s="118"/>
      <c r="N49" s="118"/>
      <c r="O49" s="118"/>
      <c r="P49" s="117"/>
      <c r="Q49" s="117"/>
      <c r="R49" s="117"/>
      <c r="S49" s="117"/>
      <c r="T49" s="118"/>
      <c r="U49" s="118"/>
      <c r="V49" s="118"/>
      <c r="W49" s="114"/>
      <c r="X49" s="114"/>
      <c r="Y49" s="114"/>
      <c r="Z49" s="114"/>
    </row>
    <row r="50" spans="1:26" ht="12.75">
      <c r="A50" s="135"/>
      <c r="B50" s="136"/>
      <c r="C50" s="136"/>
      <c r="D50" s="136"/>
      <c r="E50" s="137"/>
      <c r="F50" s="119"/>
      <c r="G50" s="119"/>
      <c r="H50" s="118"/>
      <c r="I50" s="106" t="s">
        <v>266</v>
      </c>
      <c r="J50" s="117"/>
      <c r="K50" s="118"/>
      <c r="L50" s="118"/>
      <c r="M50" s="118"/>
      <c r="N50" s="118"/>
      <c r="O50" s="118"/>
      <c r="P50" s="117"/>
      <c r="Q50" s="117"/>
      <c r="R50" s="117"/>
      <c r="S50" s="117"/>
      <c r="T50" s="118"/>
      <c r="U50" s="118"/>
      <c r="V50" s="118"/>
      <c r="W50" s="114"/>
      <c r="X50" s="114"/>
      <c r="Y50" s="114"/>
      <c r="Z50" s="114"/>
    </row>
    <row r="51" spans="1:26" ht="12.75">
      <c r="A51" s="135"/>
      <c r="B51" s="136"/>
      <c r="C51" s="136"/>
      <c r="D51" s="136"/>
      <c r="E51" s="137"/>
      <c r="F51" s="119"/>
      <c r="G51" s="119"/>
      <c r="H51" s="118"/>
      <c r="I51" s="106"/>
      <c r="J51" s="117"/>
      <c r="K51" s="118"/>
      <c r="L51" s="118"/>
      <c r="M51" s="118"/>
      <c r="N51" s="118"/>
      <c r="O51" s="118"/>
      <c r="P51" s="117"/>
      <c r="Q51" s="117"/>
      <c r="R51" s="117"/>
      <c r="S51" s="117"/>
      <c r="T51" s="118"/>
      <c r="U51" s="118"/>
      <c r="V51" s="118"/>
      <c r="W51" s="114"/>
      <c r="X51" s="114"/>
      <c r="Y51" s="114"/>
      <c r="Z51" s="114"/>
    </row>
    <row r="52" spans="1:26" ht="12.75">
      <c r="A52" s="153"/>
      <c r="B52" s="150"/>
      <c r="C52" s="150"/>
      <c r="D52" s="150"/>
      <c r="E52" s="139"/>
      <c r="F52" s="118"/>
      <c r="G52" s="119"/>
      <c r="H52" s="118"/>
      <c r="I52" s="106"/>
      <c r="J52" s="117"/>
      <c r="K52" s="118"/>
      <c r="L52" s="118"/>
      <c r="M52" s="118"/>
      <c r="N52" s="118"/>
      <c r="O52" s="118"/>
      <c r="P52" s="117"/>
      <c r="Q52" s="117"/>
      <c r="R52" s="117"/>
      <c r="S52" s="117"/>
      <c r="T52" s="118"/>
      <c r="U52" s="118"/>
      <c r="V52" s="118"/>
      <c r="W52" s="114"/>
      <c r="X52" s="114"/>
      <c r="Y52" s="114"/>
      <c r="Z52" s="114"/>
    </row>
    <row r="53" spans="1:26" ht="12.75">
      <c r="A53" s="153"/>
      <c r="B53" s="150"/>
      <c r="C53" s="150"/>
      <c r="D53" s="150"/>
      <c r="E53" s="139"/>
      <c r="F53" s="118"/>
      <c r="G53" s="119"/>
      <c r="H53" s="118"/>
      <c r="I53" s="106"/>
      <c r="J53" s="117"/>
      <c r="K53" s="118"/>
      <c r="L53" s="118"/>
      <c r="M53" s="118"/>
      <c r="N53" s="118"/>
      <c r="O53" s="118"/>
      <c r="P53" s="117"/>
      <c r="Q53" s="117"/>
      <c r="R53" s="117"/>
      <c r="S53" s="117"/>
      <c r="T53" s="118"/>
      <c r="U53" s="118"/>
      <c r="V53" s="118"/>
      <c r="W53" s="114"/>
      <c r="X53" s="114"/>
      <c r="Y53" s="114"/>
      <c r="Z53" s="114"/>
    </row>
    <row r="54" spans="1:26" ht="12.75">
      <c r="A54" s="153"/>
      <c r="B54" s="150"/>
      <c r="C54" s="150"/>
      <c r="D54" s="150"/>
      <c r="E54" s="139"/>
      <c r="F54" s="118"/>
      <c r="G54" s="119"/>
      <c r="H54" s="118"/>
      <c r="I54" s="106"/>
      <c r="J54" s="117"/>
      <c r="K54" s="118"/>
      <c r="L54" s="118"/>
      <c r="M54" s="118"/>
      <c r="N54" s="118"/>
      <c r="O54" s="118"/>
      <c r="P54" s="117"/>
      <c r="Q54" s="117"/>
      <c r="R54" s="117"/>
      <c r="S54" s="117"/>
      <c r="T54" s="118"/>
      <c r="U54" s="118"/>
      <c r="V54" s="118"/>
      <c r="W54" s="114"/>
      <c r="X54" s="114"/>
      <c r="Y54" s="114"/>
      <c r="Z54" s="114"/>
    </row>
    <row r="55" spans="1:26" ht="12.75">
      <c r="A55" s="153"/>
      <c r="B55" s="150"/>
      <c r="C55" s="150"/>
      <c r="D55" s="150"/>
      <c r="E55" s="139"/>
      <c r="F55" s="118"/>
      <c r="G55" s="119"/>
      <c r="H55" s="118"/>
      <c r="I55" s="106"/>
      <c r="J55" s="117"/>
      <c r="K55" s="118"/>
      <c r="L55" s="118"/>
      <c r="M55" s="118"/>
      <c r="N55" s="118"/>
      <c r="O55" s="118"/>
      <c r="P55" s="117"/>
      <c r="Q55" s="117"/>
      <c r="R55" s="117"/>
      <c r="S55" s="117"/>
      <c r="T55" s="118"/>
      <c r="U55" s="118"/>
      <c r="V55" s="118"/>
      <c r="W55" s="114"/>
      <c r="X55" s="114"/>
      <c r="Y55" s="114"/>
      <c r="Z55" s="114"/>
    </row>
    <row r="56" spans="1:26" ht="12.75">
      <c r="A56" s="153"/>
      <c r="B56" s="150"/>
      <c r="C56" s="150"/>
      <c r="D56" s="150"/>
      <c r="E56" s="139"/>
      <c r="F56" s="118"/>
      <c r="G56" s="119"/>
      <c r="H56" s="118"/>
      <c r="I56" s="106"/>
      <c r="J56" s="117"/>
      <c r="K56" s="118"/>
      <c r="L56" s="118"/>
      <c r="M56" s="118"/>
      <c r="N56" s="118"/>
      <c r="O56" s="119"/>
      <c r="P56" s="117"/>
      <c r="Q56" s="117"/>
      <c r="R56" s="117"/>
      <c r="S56" s="117"/>
      <c r="T56" s="118"/>
      <c r="U56" s="118"/>
      <c r="V56" s="118"/>
      <c r="W56" s="114"/>
      <c r="X56" s="114"/>
      <c r="Y56" s="114"/>
      <c r="Z56" s="114"/>
    </row>
    <row r="57" spans="1:26" ht="12.75">
      <c r="A57" s="153"/>
      <c r="B57" s="150"/>
      <c r="C57" s="150"/>
      <c r="D57" s="150"/>
      <c r="E57" s="139"/>
      <c r="F57" s="118"/>
      <c r="G57" s="119"/>
      <c r="H57" s="118"/>
      <c r="I57" s="106"/>
      <c r="J57" s="117"/>
      <c r="K57" s="118"/>
      <c r="L57" s="118"/>
      <c r="M57" s="118"/>
      <c r="N57" s="118"/>
      <c r="O57" s="118"/>
      <c r="P57" s="117"/>
      <c r="Q57" s="117"/>
      <c r="R57" s="117"/>
      <c r="S57" s="117"/>
      <c r="T57" s="118"/>
      <c r="U57" s="118"/>
      <c r="V57" s="118"/>
      <c r="W57" s="114"/>
      <c r="X57" s="114"/>
      <c r="Y57" s="114"/>
      <c r="Z57" s="114"/>
    </row>
    <row r="58" spans="1:26" ht="12.75">
      <c r="A58" s="153"/>
      <c r="B58" s="150"/>
      <c r="C58" s="150"/>
      <c r="D58" s="150"/>
      <c r="E58" s="139"/>
      <c r="F58" s="118"/>
      <c r="G58" s="119"/>
      <c r="H58" s="118"/>
      <c r="I58" s="106"/>
      <c r="J58" s="117"/>
      <c r="K58" s="118"/>
      <c r="L58" s="118"/>
      <c r="M58" s="118"/>
      <c r="N58" s="118"/>
      <c r="O58" s="118"/>
      <c r="P58" s="117"/>
      <c r="Q58" s="117"/>
      <c r="R58" s="117"/>
      <c r="S58" s="117"/>
      <c r="T58" s="118"/>
      <c r="U58" s="118"/>
      <c r="V58" s="118"/>
      <c r="W58" s="114"/>
      <c r="X58" s="114"/>
      <c r="Y58" s="114"/>
      <c r="Z58" s="114"/>
    </row>
    <row r="59" spans="1:26" ht="12.75">
      <c r="A59" s="153"/>
      <c r="B59" s="150"/>
      <c r="C59" s="150"/>
      <c r="D59" s="150"/>
      <c r="E59" s="139"/>
      <c r="F59" s="118"/>
      <c r="G59" s="119"/>
      <c r="H59" s="118"/>
      <c r="I59" s="106"/>
      <c r="J59" s="117"/>
      <c r="K59" s="118"/>
      <c r="L59" s="118"/>
      <c r="M59" s="118"/>
      <c r="N59" s="118"/>
      <c r="O59" s="118"/>
      <c r="P59" s="117"/>
      <c r="Q59" s="117"/>
      <c r="R59" s="117"/>
      <c r="S59" s="117"/>
      <c r="T59" s="118"/>
      <c r="U59" s="118"/>
      <c r="V59" s="118"/>
      <c r="W59" s="114"/>
      <c r="X59" s="114"/>
      <c r="Y59" s="114"/>
      <c r="Z59" s="114"/>
    </row>
    <row r="60" spans="1:26" ht="12.75">
      <c r="A60" s="153"/>
      <c r="B60" s="150"/>
      <c r="C60" s="150"/>
      <c r="D60" s="150"/>
      <c r="E60" s="139"/>
      <c r="F60" s="118"/>
      <c r="G60" s="119"/>
      <c r="H60" s="118"/>
      <c r="I60" s="106"/>
      <c r="J60" s="117"/>
      <c r="K60" s="118"/>
      <c r="L60" s="118"/>
      <c r="M60" s="118"/>
      <c r="N60" s="118"/>
      <c r="O60" s="118"/>
      <c r="P60" s="117"/>
      <c r="Q60" s="117"/>
      <c r="R60" s="117"/>
      <c r="S60" s="117"/>
      <c r="T60" s="118"/>
      <c r="U60" s="118"/>
      <c r="V60" s="118"/>
      <c r="W60" s="114"/>
      <c r="X60" s="114"/>
      <c r="Y60" s="114"/>
      <c r="Z60" s="114"/>
    </row>
    <row r="61" spans="1:26" ht="12.75">
      <c r="A61" s="153"/>
      <c r="B61" s="150"/>
      <c r="C61" s="150"/>
      <c r="D61" s="150"/>
      <c r="E61" s="139"/>
      <c r="F61" s="118"/>
      <c r="G61" s="119"/>
      <c r="H61" s="118"/>
      <c r="I61" s="106"/>
      <c r="J61" s="117"/>
      <c r="K61" s="118"/>
      <c r="L61" s="118"/>
      <c r="M61" s="118"/>
      <c r="N61" s="118"/>
      <c r="O61" s="118"/>
      <c r="P61" s="117"/>
      <c r="Q61" s="117"/>
      <c r="R61" s="117"/>
      <c r="S61" s="117"/>
      <c r="T61" s="118"/>
      <c r="U61" s="118"/>
      <c r="V61" s="118"/>
      <c r="W61" s="114"/>
      <c r="X61" s="114"/>
      <c r="Y61" s="114"/>
      <c r="Z61" s="114"/>
    </row>
    <row r="62" spans="1:26" ht="12.75">
      <c r="A62" s="153"/>
      <c r="B62" s="150"/>
      <c r="C62" s="150"/>
      <c r="D62" s="150"/>
      <c r="E62" s="139"/>
      <c r="F62" s="118"/>
      <c r="G62" s="119"/>
      <c r="H62" s="118"/>
      <c r="I62" s="106"/>
      <c r="J62" s="117"/>
      <c r="K62" s="118"/>
      <c r="L62" s="118"/>
      <c r="M62" s="118"/>
      <c r="N62" s="118"/>
      <c r="O62" s="118"/>
      <c r="P62" s="117"/>
      <c r="Q62" s="117"/>
      <c r="R62" s="117"/>
      <c r="S62" s="117"/>
      <c r="T62" s="118"/>
      <c r="U62" s="118"/>
      <c r="V62" s="118"/>
      <c r="W62" s="114"/>
      <c r="X62" s="114"/>
      <c r="Y62" s="114"/>
      <c r="Z62" s="114"/>
    </row>
    <row r="63" spans="1:26" ht="12.75">
      <c r="A63" s="153"/>
      <c r="B63" s="150"/>
      <c r="C63" s="150"/>
      <c r="D63" s="150"/>
      <c r="E63" s="139"/>
      <c r="F63" s="118"/>
      <c r="G63" s="119"/>
      <c r="H63" s="118"/>
      <c r="I63" s="106"/>
      <c r="J63" s="117"/>
      <c r="K63" s="118"/>
      <c r="L63" s="118"/>
      <c r="M63" s="118"/>
      <c r="N63" s="118"/>
      <c r="O63" s="113"/>
      <c r="P63" s="117"/>
      <c r="Q63" s="117"/>
      <c r="R63" s="117"/>
      <c r="S63" s="117"/>
      <c r="T63" s="118"/>
      <c r="U63" s="118"/>
      <c r="V63" s="118"/>
      <c r="W63" s="114"/>
      <c r="X63" s="114"/>
      <c r="Y63" s="114"/>
      <c r="Z63" s="114"/>
    </row>
    <row r="64" spans="1:26" ht="12.75">
      <c r="A64" s="135"/>
      <c r="B64" s="111"/>
      <c r="C64" s="111"/>
      <c r="D64" s="111"/>
      <c r="E64" s="137"/>
      <c r="F64" s="119"/>
      <c r="G64" s="119"/>
      <c r="H64" s="118"/>
      <c r="I64" s="106"/>
      <c r="J64" s="117"/>
      <c r="K64" s="118"/>
      <c r="L64" s="118"/>
      <c r="M64" s="118"/>
      <c r="N64" s="118"/>
      <c r="O64" s="113"/>
      <c r="P64" s="117"/>
      <c r="Q64" s="117"/>
      <c r="R64" s="117"/>
      <c r="S64" s="117"/>
      <c r="T64" s="118"/>
      <c r="U64" s="118"/>
      <c r="V64" s="118"/>
      <c r="W64" s="114"/>
      <c r="X64" s="114"/>
      <c r="Y64" s="114"/>
      <c r="Z64" s="114"/>
    </row>
    <row r="65" spans="1:26" ht="12.75">
      <c r="A65" s="135"/>
      <c r="B65" s="136"/>
      <c r="C65" s="136"/>
      <c r="D65" s="136"/>
      <c r="E65" s="137"/>
      <c r="F65" s="119"/>
      <c r="G65" s="119"/>
      <c r="H65" s="118"/>
      <c r="I65" s="106"/>
      <c r="J65" s="117"/>
      <c r="K65" s="118"/>
      <c r="L65" s="118"/>
      <c r="M65" s="118"/>
      <c r="N65" s="118"/>
      <c r="O65" s="118"/>
      <c r="P65" s="117"/>
      <c r="Q65" s="117"/>
      <c r="R65" s="117"/>
      <c r="S65" s="117"/>
      <c r="T65" s="118"/>
      <c r="U65" s="118"/>
      <c r="V65" s="118"/>
      <c r="W65" s="114"/>
      <c r="X65" s="114"/>
      <c r="Y65" s="114"/>
      <c r="Z65" s="114"/>
    </row>
    <row r="66" spans="1:26" ht="12.75">
      <c r="A66" s="135"/>
      <c r="B66" s="136"/>
      <c r="C66" s="136"/>
      <c r="D66" s="136"/>
      <c r="E66" s="137"/>
      <c r="F66" s="119"/>
      <c r="G66" s="119"/>
      <c r="H66" s="118"/>
      <c r="I66" s="106"/>
      <c r="J66" s="117"/>
      <c r="K66" s="118"/>
      <c r="L66" s="118"/>
      <c r="M66" s="118"/>
      <c r="N66" s="118"/>
      <c r="O66" s="113"/>
      <c r="P66" s="117"/>
      <c r="Q66" s="117"/>
      <c r="R66" s="117"/>
      <c r="S66" s="117"/>
      <c r="T66" s="118"/>
      <c r="U66" s="118"/>
      <c r="V66" s="118"/>
      <c r="W66" s="114"/>
      <c r="X66" s="114"/>
      <c r="Y66" s="114"/>
      <c r="Z66" s="114"/>
    </row>
    <row r="67" spans="1:26" ht="12.75">
      <c r="A67" s="138"/>
      <c r="B67" s="136"/>
      <c r="C67" s="136"/>
      <c r="D67" s="136"/>
      <c r="E67" s="137"/>
      <c r="F67" s="119"/>
      <c r="G67" s="119"/>
      <c r="H67" s="118"/>
      <c r="I67" s="106"/>
      <c r="J67" s="117"/>
      <c r="K67" s="118"/>
      <c r="L67" s="118"/>
      <c r="M67" s="118"/>
      <c r="N67" s="118"/>
      <c r="O67" s="118"/>
      <c r="P67" s="117"/>
      <c r="Q67" s="117"/>
      <c r="R67" s="117"/>
      <c r="S67" s="117"/>
      <c r="T67" s="118"/>
      <c r="U67" s="118"/>
      <c r="V67" s="118"/>
      <c r="W67" s="114"/>
      <c r="X67" s="114"/>
      <c r="Y67" s="114"/>
      <c r="Z67" s="114"/>
    </row>
    <row r="68" spans="1:26" ht="12.75">
      <c r="A68" s="153"/>
      <c r="B68" s="150"/>
      <c r="C68" s="150"/>
      <c r="D68" s="150"/>
      <c r="E68" s="139"/>
      <c r="F68" s="118"/>
      <c r="G68" s="119"/>
      <c r="H68" s="118"/>
      <c r="I68" s="106"/>
      <c r="J68" s="117"/>
      <c r="K68" s="118"/>
      <c r="L68" s="118"/>
      <c r="M68" s="118"/>
      <c r="N68" s="118"/>
      <c r="O68" s="118"/>
      <c r="P68" s="117"/>
      <c r="Q68" s="117"/>
      <c r="R68" s="117"/>
      <c r="S68" s="117"/>
      <c r="T68" s="118"/>
      <c r="U68" s="118"/>
      <c r="V68" s="118"/>
      <c r="W68" s="114"/>
      <c r="X68" s="114"/>
      <c r="Y68" s="114"/>
      <c r="Z68" s="114"/>
    </row>
    <row r="69" spans="1:26" ht="12.75">
      <c r="A69" s="153"/>
      <c r="B69" s="150"/>
      <c r="C69" s="150"/>
      <c r="D69" s="150"/>
      <c r="E69" s="139"/>
      <c r="F69" s="118"/>
      <c r="G69" s="119"/>
      <c r="H69" s="118"/>
      <c r="I69" s="106"/>
      <c r="J69" s="117"/>
      <c r="K69" s="118"/>
      <c r="L69" s="118"/>
      <c r="M69" s="118"/>
      <c r="N69" s="118"/>
      <c r="O69" s="118"/>
      <c r="P69" s="117"/>
      <c r="Q69" s="117"/>
      <c r="R69" s="117"/>
      <c r="S69" s="117"/>
      <c r="T69" s="118"/>
      <c r="U69" s="118"/>
      <c r="V69" s="118"/>
      <c r="W69" s="114"/>
      <c r="X69" s="114"/>
      <c r="Y69" s="114"/>
      <c r="Z69" s="114"/>
    </row>
    <row r="70" spans="1:26" ht="12.75">
      <c r="A70" s="153"/>
      <c r="B70" s="150"/>
      <c r="C70" s="150"/>
      <c r="D70" s="150"/>
      <c r="E70" s="139"/>
      <c r="F70" s="118"/>
      <c r="G70" s="119"/>
      <c r="H70" s="118"/>
      <c r="I70" s="106"/>
      <c r="J70" s="117"/>
      <c r="K70" s="118"/>
      <c r="L70" s="118"/>
      <c r="M70" s="118"/>
      <c r="N70" s="118"/>
      <c r="O70" s="118"/>
      <c r="P70" s="117"/>
      <c r="Q70" s="117"/>
      <c r="R70" s="117"/>
      <c r="S70" s="117"/>
      <c r="T70" s="118"/>
      <c r="U70" s="118"/>
      <c r="V70" s="118"/>
      <c r="W70" s="114"/>
      <c r="X70" s="114"/>
      <c r="Y70" s="114"/>
      <c r="Z70" s="114"/>
    </row>
    <row r="71" spans="1:26" ht="12.75">
      <c r="A71" s="153"/>
      <c r="B71" s="150"/>
      <c r="C71" s="150"/>
      <c r="D71" s="150"/>
      <c r="E71" s="139"/>
      <c r="F71" s="118"/>
      <c r="G71" s="119"/>
      <c r="H71" s="118"/>
      <c r="I71" s="106"/>
      <c r="J71" s="117"/>
      <c r="K71" s="118"/>
      <c r="L71" s="118"/>
      <c r="M71" s="118"/>
      <c r="N71" s="118"/>
      <c r="O71" s="118"/>
      <c r="P71" s="117"/>
      <c r="Q71" s="117"/>
      <c r="R71" s="117"/>
      <c r="S71" s="117"/>
      <c r="T71" s="118"/>
      <c r="U71" s="118"/>
      <c r="V71" s="118"/>
      <c r="W71" s="114"/>
      <c r="X71" s="114"/>
      <c r="Y71" s="114"/>
      <c r="Z71" s="114"/>
    </row>
    <row r="72" spans="1:26" ht="12.75">
      <c r="A72" s="153"/>
      <c r="B72" s="150"/>
      <c r="C72" s="150"/>
      <c r="D72" s="150"/>
      <c r="E72" s="139"/>
      <c r="F72" s="118"/>
      <c r="G72" s="119"/>
      <c r="H72" s="118"/>
      <c r="I72" s="106"/>
      <c r="J72" s="117"/>
      <c r="K72" s="118"/>
      <c r="L72" s="118"/>
      <c r="M72" s="118"/>
      <c r="N72" s="118"/>
      <c r="O72" s="118"/>
      <c r="P72" s="117"/>
      <c r="Q72" s="117"/>
      <c r="R72" s="117"/>
      <c r="S72" s="117"/>
      <c r="T72" s="118"/>
      <c r="U72" s="118"/>
      <c r="V72" s="118"/>
      <c r="W72" s="114"/>
      <c r="X72" s="114"/>
      <c r="Y72" s="114"/>
      <c r="Z72" s="114"/>
    </row>
    <row r="73" spans="1:26" ht="12.75">
      <c r="A73" s="153"/>
      <c r="B73" s="150"/>
      <c r="C73" s="150"/>
      <c r="D73" s="150"/>
      <c r="E73" s="139"/>
      <c r="F73" s="118"/>
      <c r="G73" s="119"/>
      <c r="H73" s="118"/>
      <c r="I73" s="106"/>
      <c r="J73" s="117"/>
      <c r="K73" s="118"/>
      <c r="L73" s="118"/>
      <c r="M73" s="118"/>
      <c r="N73" s="118"/>
      <c r="O73" s="118"/>
      <c r="P73" s="117"/>
      <c r="Q73" s="117"/>
      <c r="R73" s="117"/>
      <c r="S73" s="117"/>
      <c r="T73" s="118"/>
      <c r="U73" s="118"/>
      <c r="V73" s="118"/>
      <c r="W73" s="114"/>
      <c r="X73" s="114"/>
      <c r="Y73" s="114"/>
      <c r="Z73" s="114"/>
    </row>
    <row r="74" spans="1:26" ht="12.75">
      <c r="A74" s="153"/>
      <c r="B74" s="150"/>
      <c r="C74" s="150"/>
      <c r="D74" s="150"/>
      <c r="E74" s="139"/>
      <c r="F74" s="118"/>
      <c r="G74" s="119"/>
      <c r="H74" s="118"/>
      <c r="I74" s="106"/>
      <c r="J74" s="117"/>
      <c r="K74" s="118"/>
      <c r="L74" s="118"/>
      <c r="M74" s="118"/>
      <c r="N74" s="118"/>
      <c r="O74" s="118"/>
      <c r="P74" s="117"/>
      <c r="Q74" s="117"/>
      <c r="R74" s="117"/>
      <c r="S74" s="117"/>
      <c r="T74" s="118"/>
      <c r="U74" s="118"/>
      <c r="V74" s="118"/>
      <c r="W74" s="114"/>
      <c r="X74" s="114"/>
      <c r="Y74" s="114"/>
      <c r="Z74" s="114"/>
    </row>
    <row r="75" spans="1:26" ht="12.75">
      <c r="A75" s="153"/>
      <c r="B75" s="150"/>
      <c r="C75" s="150"/>
      <c r="D75" s="150"/>
      <c r="E75" s="139"/>
      <c r="F75" s="118"/>
      <c r="G75" s="119"/>
      <c r="H75" s="118"/>
      <c r="I75" s="106"/>
      <c r="J75" s="117"/>
      <c r="K75" s="118"/>
      <c r="L75" s="118"/>
      <c r="M75" s="118"/>
      <c r="N75" s="118"/>
      <c r="O75" s="118"/>
      <c r="P75" s="117"/>
      <c r="Q75" s="117"/>
      <c r="R75" s="117"/>
      <c r="S75" s="117"/>
      <c r="T75" s="118"/>
      <c r="U75" s="118"/>
      <c r="V75" s="118"/>
      <c r="W75" s="114"/>
      <c r="X75" s="114"/>
      <c r="Y75" s="114"/>
      <c r="Z75" s="114"/>
    </row>
    <row r="76" spans="1:26" ht="12.75">
      <c r="A76" s="153"/>
      <c r="B76" s="150"/>
      <c r="C76" s="150"/>
      <c r="D76" s="150"/>
      <c r="E76" s="139"/>
      <c r="F76" s="118"/>
      <c r="G76" s="119"/>
      <c r="H76" s="118"/>
      <c r="I76" s="106"/>
      <c r="J76" s="117"/>
      <c r="K76" s="118"/>
      <c r="L76" s="118"/>
      <c r="M76" s="118"/>
      <c r="N76" s="118"/>
      <c r="O76" s="118"/>
      <c r="P76" s="117"/>
      <c r="Q76" s="117"/>
      <c r="R76" s="117"/>
      <c r="S76" s="117"/>
      <c r="T76" s="118"/>
      <c r="U76" s="118"/>
      <c r="V76" s="118"/>
      <c r="W76" s="114"/>
      <c r="X76" s="114"/>
      <c r="Y76" s="114"/>
      <c r="Z76" s="114"/>
    </row>
    <row r="77" spans="1:26" ht="12.75">
      <c r="A77" s="153"/>
      <c r="B77" s="150"/>
      <c r="C77" s="150"/>
      <c r="D77" s="150"/>
      <c r="E77" s="139"/>
      <c r="F77" s="118"/>
      <c r="G77" s="119"/>
      <c r="H77" s="118"/>
      <c r="I77" s="106"/>
      <c r="J77" s="117"/>
      <c r="K77" s="118"/>
      <c r="L77" s="118"/>
      <c r="M77" s="118"/>
      <c r="N77" s="118"/>
      <c r="O77" s="118"/>
      <c r="P77" s="117"/>
      <c r="Q77" s="117"/>
      <c r="R77" s="117"/>
      <c r="S77" s="117"/>
      <c r="T77" s="118"/>
      <c r="U77" s="118"/>
      <c r="V77" s="118"/>
      <c r="W77" s="114"/>
      <c r="X77" s="114"/>
      <c r="Y77" s="114"/>
      <c r="Z77" s="114"/>
    </row>
    <row r="78" spans="1:26" ht="12.75">
      <c r="A78" s="153"/>
      <c r="B78" s="150"/>
      <c r="C78" s="150"/>
      <c r="D78" s="150"/>
      <c r="E78" s="139"/>
      <c r="F78" s="118"/>
      <c r="G78" s="119"/>
      <c r="H78" s="118"/>
      <c r="I78" s="106"/>
      <c r="J78" s="117"/>
      <c r="K78" s="118"/>
      <c r="L78" s="118"/>
      <c r="M78" s="118"/>
      <c r="N78" s="118"/>
      <c r="O78" s="118"/>
      <c r="P78" s="117"/>
      <c r="Q78" s="117"/>
      <c r="R78" s="117"/>
      <c r="S78" s="117"/>
      <c r="T78" s="118"/>
      <c r="U78" s="118"/>
      <c r="V78" s="118"/>
      <c r="W78" s="114"/>
      <c r="X78" s="114"/>
      <c r="Y78" s="114"/>
      <c r="Z78" s="114"/>
    </row>
    <row r="79" spans="1:26" ht="12.75">
      <c r="A79" s="153"/>
      <c r="B79" s="150"/>
      <c r="C79" s="150"/>
      <c r="D79" s="150"/>
      <c r="E79" s="139"/>
      <c r="F79" s="118"/>
      <c r="G79" s="119"/>
      <c r="H79" s="118"/>
      <c r="I79" s="106"/>
      <c r="J79" s="117"/>
      <c r="K79" s="118"/>
      <c r="L79" s="118"/>
      <c r="M79" s="118"/>
      <c r="N79" s="118"/>
      <c r="O79" s="118"/>
      <c r="P79" s="117"/>
      <c r="Q79" s="117"/>
      <c r="R79" s="117"/>
      <c r="S79" s="117"/>
      <c r="T79" s="118"/>
      <c r="U79" s="118"/>
      <c r="V79" s="118"/>
      <c r="W79" s="114"/>
      <c r="X79" s="114"/>
      <c r="Y79" s="114"/>
      <c r="Z79" s="114"/>
    </row>
    <row r="80" spans="1:26" ht="12.75">
      <c r="A80" s="153"/>
      <c r="B80" s="150"/>
      <c r="C80" s="150"/>
      <c r="D80" s="150"/>
      <c r="E80" s="139"/>
      <c r="F80" s="118"/>
      <c r="G80" s="119"/>
      <c r="H80" s="118"/>
      <c r="I80" s="106"/>
      <c r="J80" s="117"/>
      <c r="K80" s="118"/>
      <c r="L80" s="118"/>
      <c r="M80" s="118"/>
      <c r="N80" s="118"/>
      <c r="O80" s="118"/>
      <c r="P80" s="117"/>
      <c r="Q80" s="117"/>
      <c r="R80" s="117"/>
      <c r="S80" s="117"/>
      <c r="T80" s="118"/>
      <c r="U80" s="118"/>
      <c r="V80" s="118"/>
      <c r="W80" s="114"/>
      <c r="X80" s="114"/>
      <c r="Y80" s="114"/>
      <c r="Z80" s="114"/>
    </row>
    <row r="81" spans="1:26" ht="12.75">
      <c r="A81" s="134"/>
      <c r="B81" s="111"/>
      <c r="C81" s="111"/>
      <c r="D81" s="111"/>
      <c r="E81" s="137"/>
      <c r="F81" s="118"/>
      <c r="G81" s="119"/>
      <c r="H81" s="118"/>
      <c r="I81" s="106"/>
      <c r="J81" s="117"/>
      <c r="K81" s="118"/>
      <c r="L81" s="118"/>
      <c r="M81" s="118"/>
      <c r="N81" s="113"/>
      <c r="O81" s="113"/>
      <c r="P81" s="117"/>
      <c r="Q81" s="117"/>
      <c r="R81" s="117"/>
      <c r="S81" s="117"/>
      <c r="T81" s="118"/>
      <c r="U81" s="118"/>
      <c r="V81" s="118"/>
      <c r="W81" s="114"/>
      <c r="X81" s="114"/>
      <c r="Y81" s="114"/>
      <c r="Z81" s="114"/>
    </row>
    <row r="82" spans="1:26" ht="12.75">
      <c r="A82" s="135"/>
      <c r="B82" s="111"/>
      <c r="C82" s="111"/>
      <c r="D82" s="111"/>
      <c r="E82" s="137"/>
      <c r="F82" s="119"/>
      <c r="G82" s="119"/>
      <c r="H82" s="118"/>
      <c r="I82" s="106"/>
      <c r="J82" s="117"/>
      <c r="K82" s="118"/>
      <c r="L82" s="118"/>
      <c r="M82" s="118"/>
      <c r="N82" s="118"/>
      <c r="O82" s="118"/>
      <c r="P82" s="117"/>
      <c r="Q82" s="117"/>
      <c r="R82" s="117"/>
      <c r="S82" s="117"/>
      <c r="T82" s="118"/>
      <c r="U82" s="118"/>
      <c r="V82" s="118"/>
      <c r="W82" s="114"/>
      <c r="X82" s="114"/>
      <c r="Y82" s="114"/>
      <c r="Z82" s="114"/>
    </row>
    <row r="83" spans="1:26" ht="12.75">
      <c r="A83" s="135"/>
      <c r="B83" s="136"/>
      <c r="C83" s="136"/>
      <c r="D83" s="136"/>
      <c r="E83" s="137"/>
      <c r="F83" s="119"/>
      <c r="G83" s="119"/>
      <c r="H83" s="118"/>
      <c r="I83" s="106"/>
      <c r="J83" s="117"/>
      <c r="K83" s="118"/>
      <c r="L83" s="118"/>
      <c r="M83" s="118"/>
      <c r="N83" s="118"/>
      <c r="O83" s="118"/>
      <c r="P83" s="117"/>
      <c r="Q83" s="117"/>
      <c r="R83" s="117"/>
      <c r="S83" s="117"/>
      <c r="T83" s="118"/>
      <c r="U83" s="118"/>
      <c r="V83" s="118"/>
      <c r="W83" s="114"/>
      <c r="X83" s="114"/>
      <c r="Y83" s="114"/>
      <c r="Z83" s="114"/>
    </row>
    <row r="84" spans="1:26" ht="12.75">
      <c r="A84" s="135"/>
      <c r="B84" s="136"/>
      <c r="C84" s="136"/>
      <c r="D84" s="136"/>
      <c r="E84" s="137"/>
      <c r="F84" s="119"/>
      <c r="G84" s="119"/>
      <c r="H84" s="118"/>
      <c r="I84" s="106"/>
      <c r="J84" s="117"/>
      <c r="K84" s="118"/>
      <c r="L84" s="118"/>
      <c r="M84" s="118"/>
      <c r="N84" s="118"/>
      <c r="O84" s="118"/>
      <c r="P84" s="117"/>
      <c r="Q84" s="117"/>
      <c r="R84" s="117"/>
      <c r="S84" s="117"/>
      <c r="T84" s="118"/>
      <c r="U84" s="118"/>
      <c r="V84" s="118"/>
      <c r="W84" s="114"/>
      <c r="X84" s="114"/>
      <c r="Y84" s="114"/>
      <c r="Z84" s="114"/>
    </row>
    <row r="85" spans="1:26" ht="12.75">
      <c r="A85" s="153"/>
      <c r="B85" s="150"/>
      <c r="C85" s="150"/>
      <c r="D85" s="150"/>
      <c r="E85" s="139"/>
      <c r="F85" s="118"/>
      <c r="G85" s="119"/>
      <c r="H85" s="118"/>
      <c r="I85" s="106"/>
      <c r="J85" s="117"/>
      <c r="K85" s="118"/>
      <c r="L85" s="118"/>
      <c r="M85" s="118"/>
      <c r="N85" s="118"/>
      <c r="O85" s="118"/>
      <c r="P85" s="117"/>
      <c r="Q85" s="117"/>
      <c r="R85" s="117"/>
      <c r="S85" s="117"/>
      <c r="T85" s="118"/>
      <c r="U85" s="118"/>
      <c r="V85" s="118"/>
      <c r="W85" s="114"/>
      <c r="X85" s="114"/>
      <c r="Y85" s="114"/>
      <c r="Z85" s="114"/>
    </row>
    <row r="86" spans="1:26" ht="12.75">
      <c r="A86" s="153"/>
      <c r="B86" s="150"/>
      <c r="C86" s="150"/>
      <c r="D86" s="150"/>
      <c r="E86" s="139"/>
      <c r="F86" s="118"/>
      <c r="G86" s="119"/>
      <c r="H86" s="118"/>
      <c r="I86" s="106"/>
      <c r="J86" s="117"/>
      <c r="K86" s="118"/>
      <c r="L86" s="118"/>
      <c r="M86" s="118"/>
      <c r="N86" s="118"/>
      <c r="O86" s="118"/>
      <c r="P86" s="117"/>
      <c r="Q86" s="117"/>
      <c r="R86" s="117"/>
      <c r="S86" s="117"/>
      <c r="T86" s="118"/>
      <c r="U86" s="118"/>
      <c r="V86" s="118"/>
      <c r="W86" s="114"/>
      <c r="X86" s="114"/>
      <c r="Y86" s="114"/>
      <c r="Z86" s="114"/>
    </row>
    <row r="87" spans="1:26" ht="12.75">
      <c r="A87" s="153"/>
      <c r="B87" s="150"/>
      <c r="C87" s="150"/>
      <c r="D87" s="150"/>
      <c r="E87" s="139"/>
      <c r="F87" s="118"/>
      <c r="G87" s="119"/>
      <c r="H87" s="118"/>
      <c r="I87" s="106"/>
      <c r="J87" s="117"/>
      <c r="K87" s="118"/>
      <c r="L87" s="118"/>
      <c r="M87" s="118"/>
      <c r="N87" s="118"/>
      <c r="O87" s="118"/>
      <c r="P87" s="117"/>
      <c r="Q87" s="117"/>
      <c r="R87" s="117"/>
      <c r="S87" s="117"/>
      <c r="T87" s="118"/>
      <c r="U87" s="118"/>
      <c r="V87" s="118"/>
      <c r="W87" s="114"/>
      <c r="X87" s="114"/>
      <c r="Y87" s="114"/>
      <c r="Z87" s="114"/>
    </row>
    <row r="88" spans="1:26" ht="12.75">
      <c r="A88" s="153"/>
      <c r="B88" s="150"/>
      <c r="C88" s="150"/>
      <c r="D88" s="150"/>
      <c r="E88" s="139"/>
      <c r="F88" s="118"/>
      <c r="G88" s="119"/>
      <c r="H88" s="118"/>
      <c r="I88" s="106"/>
      <c r="J88" s="117"/>
      <c r="K88" s="118"/>
      <c r="L88" s="118"/>
      <c r="M88" s="118"/>
      <c r="N88" s="118"/>
      <c r="O88" s="118"/>
      <c r="P88" s="117"/>
      <c r="Q88" s="117"/>
      <c r="R88" s="117"/>
      <c r="S88" s="117"/>
      <c r="T88" s="118"/>
      <c r="U88" s="118"/>
      <c r="V88" s="118"/>
      <c r="W88" s="114"/>
      <c r="X88" s="114"/>
      <c r="Y88" s="114"/>
      <c r="Z88" s="114"/>
    </row>
    <row r="89" spans="1:26" ht="12.75">
      <c r="A89" s="153"/>
      <c r="B89" s="150"/>
      <c r="C89" s="150"/>
      <c r="D89" s="150"/>
      <c r="E89" s="139"/>
      <c r="F89" s="118"/>
      <c r="G89" s="119"/>
      <c r="H89" s="118"/>
      <c r="I89" s="106"/>
      <c r="J89" s="117"/>
      <c r="K89" s="118"/>
      <c r="L89" s="118"/>
      <c r="M89" s="118"/>
      <c r="N89" s="118"/>
      <c r="O89" s="118"/>
      <c r="P89" s="117"/>
      <c r="Q89" s="117"/>
      <c r="R89" s="117"/>
      <c r="S89" s="117"/>
      <c r="T89" s="118"/>
      <c r="U89" s="118"/>
      <c r="V89" s="118"/>
      <c r="W89" s="114"/>
      <c r="X89" s="114"/>
      <c r="Y89" s="114"/>
      <c r="Z89" s="114"/>
    </row>
    <row r="90" spans="1:26" ht="12.75">
      <c r="A90" s="153"/>
      <c r="B90" s="150"/>
      <c r="C90" s="150"/>
      <c r="D90" s="150"/>
      <c r="E90" s="139"/>
      <c r="F90" s="118"/>
      <c r="G90" s="119"/>
      <c r="H90" s="118"/>
      <c r="I90" s="106"/>
      <c r="J90" s="117"/>
      <c r="K90" s="118"/>
      <c r="L90" s="118"/>
      <c r="M90" s="118"/>
      <c r="N90" s="118"/>
      <c r="O90" s="118"/>
      <c r="P90" s="117"/>
      <c r="Q90" s="117"/>
      <c r="R90" s="117"/>
      <c r="S90" s="117"/>
      <c r="T90" s="118"/>
      <c r="U90" s="118"/>
      <c r="V90" s="118"/>
      <c r="W90" s="114"/>
      <c r="X90" s="114"/>
      <c r="Y90" s="114"/>
      <c r="Z90" s="114"/>
    </row>
    <row r="91" spans="1:26" ht="12.75">
      <c r="A91" s="153"/>
      <c r="B91" s="150"/>
      <c r="C91" s="150"/>
      <c r="D91" s="150"/>
      <c r="E91" s="139"/>
      <c r="F91" s="118"/>
      <c r="G91" s="119"/>
      <c r="H91" s="118"/>
      <c r="I91" s="106"/>
      <c r="J91" s="117"/>
      <c r="K91" s="118"/>
      <c r="L91" s="118"/>
      <c r="M91" s="118"/>
      <c r="N91" s="118"/>
      <c r="O91" s="118"/>
      <c r="P91" s="117"/>
      <c r="Q91" s="117"/>
      <c r="R91" s="117"/>
      <c r="S91" s="117"/>
      <c r="T91" s="118"/>
      <c r="U91" s="118"/>
      <c r="V91" s="118"/>
      <c r="W91" s="114"/>
      <c r="X91" s="114"/>
      <c r="Y91" s="114"/>
      <c r="Z91" s="114"/>
    </row>
    <row r="92" spans="1:26" ht="12.75">
      <c r="A92" s="153"/>
      <c r="B92" s="150"/>
      <c r="C92" s="150"/>
      <c r="D92" s="150"/>
      <c r="E92" s="139"/>
      <c r="F92" s="118"/>
      <c r="G92" s="119"/>
      <c r="H92" s="118"/>
      <c r="I92" s="106"/>
      <c r="J92" s="117"/>
      <c r="K92" s="118"/>
      <c r="L92" s="118"/>
      <c r="M92" s="118"/>
      <c r="N92" s="118"/>
      <c r="O92" s="118"/>
      <c r="P92" s="117"/>
      <c r="Q92" s="117"/>
      <c r="R92" s="117"/>
      <c r="S92" s="117"/>
      <c r="T92" s="118"/>
      <c r="U92" s="118"/>
      <c r="V92" s="118"/>
      <c r="W92" s="114"/>
      <c r="X92" s="114"/>
      <c r="Y92" s="114"/>
      <c r="Z92" s="114"/>
    </row>
    <row r="93" spans="1:26" ht="12.75">
      <c r="A93" s="153"/>
      <c r="B93" s="150"/>
      <c r="C93" s="150"/>
      <c r="D93" s="150"/>
      <c r="E93" s="139"/>
      <c r="F93" s="118"/>
      <c r="G93" s="119"/>
      <c r="H93" s="118"/>
      <c r="I93" s="106"/>
      <c r="J93" s="117"/>
      <c r="K93" s="118"/>
      <c r="L93" s="118"/>
      <c r="M93" s="118"/>
      <c r="N93" s="118"/>
      <c r="O93" s="118"/>
      <c r="P93" s="117"/>
      <c r="Q93" s="117"/>
      <c r="R93" s="117"/>
      <c r="S93" s="117"/>
      <c r="T93" s="118"/>
      <c r="U93" s="118"/>
      <c r="V93" s="118"/>
      <c r="W93" s="114"/>
      <c r="X93" s="114"/>
      <c r="Y93" s="114"/>
      <c r="Z93" s="114"/>
    </row>
    <row r="94" spans="1:26" ht="12.75">
      <c r="A94" s="153"/>
      <c r="B94" s="150"/>
      <c r="C94" s="150"/>
      <c r="D94" s="150"/>
      <c r="E94" s="139"/>
      <c r="F94" s="118"/>
      <c r="G94" s="119"/>
      <c r="H94" s="118"/>
      <c r="I94" s="106"/>
      <c r="J94" s="117"/>
      <c r="K94" s="118"/>
      <c r="L94" s="118"/>
      <c r="M94" s="118"/>
      <c r="N94" s="118"/>
      <c r="O94" s="118"/>
      <c r="P94" s="117"/>
      <c r="Q94" s="117"/>
      <c r="R94" s="117"/>
      <c r="S94" s="117"/>
      <c r="T94" s="118"/>
      <c r="U94" s="118"/>
      <c r="V94" s="118"/>
      <c r="W94" s="114"/>
      <c r="X94" s="114"/>
      <c r="Y94" s="114"/>
      <c r="Z94" s="114"/>
    </row>
    <row r="95" spans="1:26" ht="12.75">
      <c r="A95" s="153"/>
      <c r="B95" s="150"/>
      <c r="C95" s="150"/>
      <c r="D95" s="150"/>
      <c r="E95" s="139"/>
      <c r="F95" s="118"/>
      <c r="G95" s="119"/>
      <c r="H95" s="118"/>
      <c r="I95" s="106"/>
      <c r="J95" s="117"/>
      <c r="K95" s="118"/>
      <c r="L95" s="118"/>
      <c r="M95" s="118"/>
      <c r="N95" s="118"/>
      <c r="O95" s="118"/>
      <c r="P95" s="117"/>
      <c r="Q95" s="117"/>
      <c r="R95" s="117"/>
      <c r="S95" s="117"/>
      <c r="T95" s="118"/>
      <c r="U95" s="118"/>
      <c r="V95" s="118"/>
      <c r="W95" s="114"/>
      <c r="X95" s="114"/>
      <c r="Y95" s="114"/>
      <c r="Z95" s="114"/>
    </row>
    <row r="96" spans="1:26" ht="12.75">
      <c r="A96" s="153"/>
      <c r="B96" s="150"/>
      <c r="C96" s="150"/>
      <c r="D96" s="150"/>
      <c r="E96" s="139"/>
      <c r="F96" s="118"/>
      <c r="G96" s="119"/>
      <c r="H96" s="118"/>
      <c r="I96" s="106"/>
      <c r="J96" s="117"/>
      <c r="K96" s="118"/>
      <c r="L96" s="118"/>
      <c r="M96" s="118"/>
      <c r="N96" s="118"/>
      <c r="O96" s="118"/>
      <c r="P96" s="117"/>
      <c r="Q96" s="117"/>
      <c r="R96" s="117"/>
      <c r="S96" s="117"/>
      <c r="T96" s="118"/>
      <c r="U96" s="118"/>
      <c r="V96" s="118"/>
      <c r="W96" s="114"/>
      <c r="X96" s="114"/>
      <c r="Y96" s="114"/>
      <c r="Z96" s="114"/>
    </row>
    <row r="97" spans="1:26" ht="12.75">
      <c r="A97" s="153"/>
      <c r="B97" s="150"/>
      <c r="C97" s="150"/>
      <c r="D97" s="150"/>
      <c r="E97" s="139"/>
      <c r="F97" s="118"/>
      <c r="G97" s="119"/>
      <c r="H97" s="118"/>
      <c r="I97" s="106"/>
      <c r="J97" s="117"/>
      <c r="K97" s="118"/>
      <c r="L97" s="118"/>
      <c r="M97" s="118"/>
      <c r="N97" s="118"/>
      <c r="O97" s="118"/>
      <c r="P97" s="117"/>
      <c r="Q97" s="117"/>
      <c r="R97" s="117"/>
      <c r="S97" s="117"/>
      <c r="T97" s="118"/>
      <c r="U97" s="118"/>
      <c r="V97" s="118"/>
      <c r="W97" s="114"/>
      <c r="X97" s="114"/>
      <c r="Y97" s="114"/>
      <c r="Z97" s="114"/>
    </row>
    <row r="98" spans="1:26" ht="12.75">
      <c r="A98" s="153"/>
      <c r="B98" s="150"/>
      <c r="C98" s="150"/>
      <c r="D98" s="150"/>
      <c r="E98" s="139"/>
      <c r="F98" s="118"/>
      <c r="G98" s="119"/>
      <c r="H98" s="118"/>
      <c r="I98" s="106"/>
      <c r="J98" s="117"/>
      <c r="K98" s="118"/>
      <c r="L98" s="118"/>
      <c r="M98" s="118"/>
      <c r="N98" s="118"/>
      <c r="O98" s="118"/>
      <c r="P98" s="117"/>
      <c r="Q98" s="117"/>
      <c r="R98" s="117"/>
      <c r="S98" s="117"/>
      <c r="T98" s="118"/>
      <c r="U98" s="118"/>
      <c r="V98" s="118"/>
      <c r="W98" s="114"/>
      <c r="X98" s="114"/>
      <c r="Y98" s="114"/>
      <c r="Z98" s="114"/>
    </row>
    <row r="99" spans="1:26" ht="12.75">
      <c r="A99" s="135"/>
      <c r="B99" s="111"/>
      <c r="C99" s="111"/>
      <c r="D99" s="111"/>
      <c r="E99" s="137"/>
      <c r="F99" s="119"/>
      <c r="G99" s="119"/>
      <c r="H99" s="118"/>
      <c r="I99" s="106"/>
      <c r="J99" s="117"/>
      <c r="K99" s="118"/>
      <c r="L99" s="118"/>
      <c r="M99" s="118"/>
      <c r="N99" s="118"/>
      <c r="O99" s="118"/>
      <c r="P99" s="117"/>
      <c r="Q99" s="117"/>
      <c r="R99" s="117"/>
      <c r="S99" s="117"/>
      <c r="T99" s="118"/>
      <c r="U99" s="118"/>
      <c r="V99" s="118"/>
      <c r="W99" s="114"/>
      <c r="X99" s="114"/>
      <c r="Y99" s="114"/>
      <c r="Z99" s="114"/>
    </row>
    <row r="100" spans="1:26" ht="12.75">
      <c r="A100" s="135"/>
      <c r="B100" s="136"/>
      <c r="C100" s="136"/>
      <c r="D100" s="136"/>
      <c r="E100" s="137"/>
      <c r="F100" s="119"/>
      <c r="G100" s="119"/>
      <c r="H100" s="118"/>
      <c r="I100" s="106"/>
      <c r="J100" s="117"/>
      <c r="K100" s="118"/>
      <c r="L100" s="118"/>
      <c r="M100" s="118"/>
      <c r="N100" s="118"/>
      <c r="O100" s="118"/>
      <c r="P100" s="117"/>
      <c r="Q100" s="117"/>
      <c r="R100" s="117"/>
      <c r="S100" s="117"/>
      <c r="T100" s="118"/>
      <c r="U100" s="118"/>
      <c r="V100" s="118"/>
      <c r="W100" s="114"/>
      <c r="X100" s="114"/>
      <c r="Y100" s="114"/>
      <c r="Z100" s="114"/>
    </row>
    <row r="101" spans="1:26" ht="12.75">
      <c r="A101" s="135"/>
      <c r="B101" s="136"/>
      <c r="C101" s="136"/>
      <c r="D101" s="136"/>
      <c r="E101" s="137"/>
      <c r="F101" s="119"/>
      <c r="G101" s="119"/>
      <c r="H101" s="118"/>
      <c r="I101" s="106"/>
      <c r="J101" s="117"/>
      <c r="K101" s="118"/>
      <c r="L101" s="118"/>
      <c r="M101" s="118"/>
      <c r="N101" s="118"/>
      <c r="O101" s="113"/>
      <c r="P101" s="117"/>
      <c r="Q101" s="117"/>
      <c r="R101" s="117"/>
      <c r="S101" s="117"/>
      <c r="T101" s="118"/>
      <c r="U101" s="118"/>
      <c r="V101" s="118"/>
      <c r="W101" s="114"/>
      <c r="X101" s="114"/>
      <c r="Y101" s="114"/>
      <c r="Z101" s="114"/>
    </row>
    <row r="102" spans="1:26" ht="12.75">
      <c r="A102" s="131"/>
      <c r="B102" s="111"/>
      <c r="C102" s="111"/>
      <c r="D102" s="111"/>
      <c r="E102" s="137"/>
      <c r="F102" s="119"/>
      <c r="G102" s="119"/>
      <c r="H102" s="118"/>
      <c r="I102" s="106"/>
      <c r="J102" s="121"/>
      <c r="K102" s="118"/>
      <c r="L102" s="118"/>
      <c r="M102" s="118"/>
      <c r="N102" s="118"/>
      <c r="O102" s="118"/>
      <c r="P102" s="117"/>
      <c r="Q102" s="117"/>
      <c r="R102" s="117"/>
      <c r="S102" s="117"/>
      <c r="T102" s="118"/>
      <c r="U102" s="118"/>
      <c r="V102" s="118"/>
      <c r="W102" s="114"/>
      <c r="X102" s="114"/>
      <c r="Y102" s="114"/>
      <c r="Z102" s="114"/>
    </row>
    <row r="103" spans="1:26" ht="12.75">
      <c r="A103" s="153"/>
      <c r="B103" s="150"/>
      <c r="C103" s="150"/>
      <c r="D103" s="150"/>
      <c r="E103" s="139"/>
      <c r="F103" s="118"/>
      <c r="G103" s="119"/>
      <c r="H103" s="118"/>
      <c r="I103" s="106"/>
      <c r="J103" s="117"/>
      <c r="K103" s="118"/>
      <c r="L103" s="118"/>
      <c r="M103" s="118"/>
      <c r="N103" s="118"/>
      <c r="O103" s="118"/>
      <c r="P103" s="117"/>
      <c r="Q103" s="117"/>
      <c r="R103" s="117"/>
      <c r="S103" s="117"/>
      <c r="T103" s="118"/>
      <c r="U103" s="118"/>
      <c r="V103" s="118"/>
      <c r="W103" s="114"/>
      <c r="X103" s="114"/>
      <c r="Y103" s="114"/>
      <c r="Z103" s="114"/>
    </row>
    <row r="104" spans="1:26" ht="12.75">
      <c r="A104" s="153"/>
      <c r="B104" s="150"/>
      <c r="C104" s="150"/>
      <c r="D104" s="150"/>
      <c r="E104" s="139"/>
      <c r="F104" s="118"/>
      <c r="G104" s="119"/>
      <c r="H104" s="118"/>
      <c r="I104" s="106"/>
      <c r="J104" s="117"/>
      <c r="K104" s="118"/>
      <c r="L104" s="118"/>
      <c r="M104" s="118"/>
      <c r="N104" s="118"/>
      <c r="O104" s="118"/>
      <c r="P104" s="117"/>
      <c r="Q104" s="117"/>
      <c r="R104" s="117"/>
      <c r="S104" s="117"/>
      <c r="T104" s="118"/>
      <c r="U104" s="118"/>
      <c r="V104" s="118"/>
      <c r="W104" s="114"/>
      <c r="X104" s="114"/>
      <c r="Y104" s="114"/>
      <c r="Z104" s="114"/>
    </row>
    <row r="105" spans="1:26" ht="12.75">
      <c r="A105" s="153"/>
      <c r="B105" s="150"/>
      <c r="C105" s="150"/>
      <c r="D105" s="150"/>
      <c r="E105" s="139"/>
      <c r="F105" s="118"/>
      <c r="G105" s="119"/>
      <c r="H105" s="118"/>
      <c r="I105" s="106"/>
      <c r="J105" s="117"/>
      <c r="K105" s="118"/>
      <c r="L105" s="118"/>
      <c r="M105" s="118"/>
      <c r="N105" s="118"/>
      <c r="O105" s="118"/>
      <c r="P105" s="117"/>
      <c r="Q105" s="117"/>
      <c r="R105" s="117"/>
      <c r="S105" s="117"/>
      <c r="T105" s="118"/>
      <c r="U105" s="118"/>
      <c r="V105" s="118"/>
      <c r="W105" s="114"/>
      <c r="X105" s="114"/>
      <c r="Y105" s="114"/>
      <c r="Z105" s="114"/>
    </row>
    <row r="106" spans="1:26" ht="12.75">
      <c r="A106" s="153"/>
      <c r="B106" s="150"/>
      <c r="C106" s="150"/>
      <c r="D106" s="150"/>
      <c r="E106" s="139"/>
      <c r="F106" s="118"/>
      <c r="G106" s="119"/>
      <c r="H106" s="118"/>
      <c r="I106" s="106"/>
      <c r="J106" s="117"/>
      <c r="K106" s="118"/>
      <c r="L106" s="118"/>
      <c r="M106" s="118"/>
      <c r="N106" s="118"/>
      <c r="O106" s="118"/>
      <c r="P106" s="117"/>
      <c r="Q106" s="117"/>
      <c r="R106" s="117"/>
      <c r="S106" s="117"/>
      <c r="T106" s="118"/>
      <c r="U106" s="118"/>
      <c r="V106" s="118"/>
      <c r="W106" s="114"/>
      <c r="X106" s="114"/>
      <c r="Y106" s="114"/>
      <c r="Z106" s="114"/>
    </row>
    <row r="107" spans="1:26" ht="12.75">
      <c r="A107" s="153"/>
      <c r="B107" s="150"/>
      <c r="C107" s="150"/>
      <c r="D107" s="150"/>
      <c r="E107" s="139"/>
      <c r="F107" s="118"/>
      <c r="G107" s="119"/>
      <c r="H107" s="118"/>
      <c r="I107" s="106"/>
      <c r="J107" s="117"/>
      <c r="K107" s="118"/>
      <c r="L107" s="118"/>
      <c r="M107" s="118"/>
      <c r="N107" s="118"/>
      <c r="O107" s="118"/>
      <c r="P107" s="117"/>
      <c r="Q107" s="117"/>
      <c r="R107" s="117"/>
      <c r="S107" s="117"/>
      <c r="T107" s="118"/>
      <c r="U107" s="118"/>
      <c r="V107" s="118"/>
      <c r="W107" s="114"/>
      <c r="X107" s="114"/>
      <c r="Y107" s="114"/>
      <c r="Z107" s="114"/>
    </row>
    <row r="108" spans="1:26" ht="12.75">
      <c r="A108" s="153"/>
      <c r="B108" s="150"/>
      <c r="C108" s="150"/>
      <c r="D108" s="150"/>
      <c r="E108" s="139"/>
      <c r="F108" s="118"/>
      <c r="G108" s="119"/>
      <c r="H108" s="118"/>
      <c r="I108" s="106"/>
      <c r="J108" s="117"/>
      <c r="K108" s="118"/>
      <c r="L108" s="118"/>
      <c r="M108" s="118"/>
      <c r="N108" s="118"/>
      <c r="O108" s="118"/>
      <c r="P108" s="117"/>
      <c r="Q108" s="117"/>
      <c r="R108" s="117"/>
      <c r="S108" s="117"/>
      <c r="T108" s="118"/>
      <c r="U108" s="118"/>
      <c r="V108" s="118"/>
      <c r="W108" s="114"/>
      <c r="X108" s="114"/>
      <c r="Y108" s="114"/>
      <c r="Z108" s="114"/>
    </row>
    <row r="109" spans="1:26" ht="12.75">
      <c r="A109" s="153"/>
      <c r="B109" s="150"/>
      <c r="C109" s="150"/>
      <c r="D109" s="150"/>
      <c r="E109" s="139"/>
      <c r="F109" s="118"/>
      <c r="G109" s="119"/>
      <c r="H109" s="118"/>
      <c r="I109" s="106"/>
      <c r="J109" s="117"/>
      <c r="K109" s="118"/>
      <c r="L109" s="118"/>
      <c r="M109" s="118"/>
      <c r="N109" s="118"/>
      <c r="O109" s="118"/>
      <c r="P109" s="117"/>
      <c r="Q109" s="117"/>
      <c r="R109" s="117"/>
      <c r="S109" s="117"/>
      <c r="T109" s="118"/>
      <c r="U109" s="118"/>
      <c r="V109" s="118"/>
      <c r="W109" s="114"/>
      <c r="X109" s="114"/>
      <c r="Y109" s="114"/>
      <c r="Z109" s="114"/>
    </row>
    <row r="110" spans="1:26" ht="12.75">
      <c r="A110" s="153"/>
      <c r="B110" s="150"/>
      <c r="C110" s="150"/>
      <c r="D110" s="150"/>
      <c r="E110" s="139"/>
      <c r="F110" s="118"/>
      <c r="G110" s="119"/>
      <c r="H110" s="118"/>
      <c r="I110" s="106"/>
      <c r="J110" s="117"/>
      <c r="K110" s="118"/>
      <c r="L110" s="118"/>
      <c r="M110" s="118"/>
      <c r="N110" s="118"/>
      <c r="O110" s="118"/>
      <c r="P110" s="117"/>
      <c r="Q110" s="117"/>
      <c r="R110" s="117"/>
      <c r="S110" s="117"/>
      <c r="T110" s="118"/>
      <c r="U110" s="118"/>
      <c r="V110" s="118"/>
      <c r="W110" s="114"/>
      <c r="X110" s="114"/>
      <c r="Y110" s="114"/>
      <c r="Z110" s="114"/>
    </row>
    <row r="111" spans="1:26" ht="12.75">
      <c r="A111" s="153"/>
      <c r="B111" s="150"/>
      <c r="C111" s="150"/>
      <c r="D111" s="150"/>
      <c r="E111" s="139"/>
      <c r="F111" s="118"/>
      <c r="G111" s="119"/>
      <c r="H111" s="118"/>
      <c r="I111" s="106"/>
      <c r="J111" s="117"/>
      <c r="K111" s="118"/>
      <c r="L111" s="118"/>
      <c r="M111" s="118"/>
      <c r="N111" s="118"/>
      <c r="O111" s="118"/>
      <c r="P111" s="117"/>
      <c r="Q111" s="117"/>
      <c r="R111" s="117"/>
      <c r="S111" s="117"/>
      <c r="T111" s="118"/>
      <c r="U111" s="118"/>
      <c r="V111" s="118"/>
      <c r="W111" s="114"/>
      <c r="X111" s="114"/>
      <c r="Y111" s="114"/>
      <c r="Z111" s="114"/>
    </row>
    <row r="112" spans="1:26" ht="12.75">
      <c r="A112" s="153"/>
      <c r="B112" s="150"/>
      <c r="C112" s="150"/>
      <c r="D112" s="150"/>
      <c r="E112" s="139"/>
      <c r="F112" s="118"/>
      <c r="G112" s="119"/>
      <c r="H112" s="118"/>
      <c r="I112" s="106"/>
      <c r="J112" s="117"/>
      <c r="K112" s="118"/>
      <c r="L112" s="118"/>
      <c r="M112" s="118"/>
      <c r="N112" s="118"/>
      <c r="O112" s="118"/>
      <c r="P112" s="117"/>
      <c r="Q112" s="117"/>
      <c r="R112" s="117"/>
      <c r="S112" s="117"/>
      <c r="T112" s="118"/>
      <c r="U112" s="118"/>
      <c r="V112" s="118"/>
      <c r="W112" s="114"/>
      <c r="X112" s="114"/>
      <c r="Y112" s="114"/>
      <c r="Z112" s="114"/>
    </row>
    <row r="113" spans="1:26" ht="12.75">
      <c r="A113" s="153"/>
      <c r="B113" s="150"/>
      <c r="C113" s="150"/>
      <c r="D113" s="150"/>
      <c r="E113" s="139"/>
      <c r="F113" s="118"/>
      <c r="G113" s="119"/>
      <c r="H113" s="118"/>
      <c r="I113" s="106"/>
      <c r="J113" s="117"/>
      <c r="K113" s="118"/>
      <c r="L113" s="118"/>
      <c r="M113" s="118"/>
      <c r="N113" s="118"/>
      <c r="O113" s="118"/>
      <c r="P113" s="117"/>
      <c r="Q113" s="117"/>
      <c r="R113" s="117"/>
      <c r="S113" s="117"/>
      <c r="T113" s="118"/>
      <c r="U113" s="118"/>
      <c r="V113" s="118"/>
      <c r="W113" s="114"/>
      <c r="X113" s="114"/>
      <c r="Y113" s="114"/>
      <c r="Z113" s="114"/>
    </row>
    <row r="114" spans="1:26" ht="12.75">
      <c r="A114" s="153"/>
      <c r="B114" s="150"/>
      <c r="C114" s="150"/>
      <c r="D114" s="150"/>
      <c r="E114" s="139"/>
      <c r="F114" s="118"/>
      <c r="G114" s="119"/>
      <c r="H114" s="118"/>
      <c r="I114" s="106"/>
      <c r="J114" s="117"/>
      <c r="K114" s="118"/>
      <c r="L114" s="118"/>
      <c r="M114" s="118"/>
      <c r="N114" s="118"/>
      <c r="O114" s="118"/>
      <c r="P114" s="117"/>
      <c r="Q114" s="117"/>
      <c r="R114" s="117"/>
      <c r="S114" s="117"/>
      <c r="T114" s="118"/>
      <c r="U114" s="118"/>
      <c r="V114" s="118"/>
      <c r="W114" s="114"/>
      <c r="X114" s="114"/>
      <c r="Y114" s="114"/>
      <c r="Z114" s="114"/>
    </row>
    <row r="115" spans="1:26" ht="12.75">
      <c r="A115" s="153"/>
      <c r="B115" s="150"/>
      <c r="C115" s="150"/>
      <c r="D115" s="150"/>
      <c r="E115" s="139"/>
      <c r="F115" s="118"/>
      <c r="G115" s="119"/>
      <c r="H115" s="118"/>
      <c r="I115" s="106"/>
      <c r="J115" s="117"/>
      <c r="K115" s="118"/>
      <c r="L115" s="118"/>
      <c r="M115" s="118"/>
      <c r="N115" s="118"/>
      <c r="O115" s="118"/>
      <c r="P115" s="117"/>
      <c r="Q115" s="117"/>
      <c r="R115" s="117"/>
      <c r="S115" s="117"/>
      <c r="T115" s="118"/>
      <c r="U115" s="118"/>
      <c r="V115" s="118"/>
      <c r="W115" s="114"/>
      <c r="X115" s="114"/>
      <c r="Y115" s="114"/>
      <c r="Z115" s="114"/>
    </row>
    <row r="116" spans="1:26" ht="12.75">
      <c r="A116" s="153"/>
      <c r="B116" s="150"/>
      <c r="C116" s="150"/>
      <c r="D116" s="150"/>
      <c r="E116" s="139"/>
      <c r="F116" s="118"/>
      <c r="G116" s="119"/>
      <c r="H116" s="118"/>
      <c r="I116" s="106"/>
      <c r="J116" s="117"/>
      <c r="K116" s="118"/>
      <c r="L116" s="118"/>
      <c r="M116" s="118"/>
      <c r="N116" s="118"/>
      <c r="O116" s="118"/>
      <c r="P116" s="117"/>
      <c r="Q116" s="117"/>
      <c r="R116" s="117"/>
      <c r="S116" s="117"/>
      <c r="T116" s="118"/>
      <c r="U116" s="118"/>
      <c r="V116" s="118"/>
      <c r="W116" s="114"/>
      <c r="X116" s="114"/>
      <c r="Y116" s="114"/>
      <c r="Z116" s="114"/>
    </row>
    <row r="117" spans="1:26" ht="12.75">
      <c r="A117" s="153"/>
      <c r="B117" s="150"/>
      <c r="C117" s="150"/>
      <c r="D117" s="150"/>
      <c r="E117" s="139"/>
      <c r="F117" s="118"/>
      <c r="G117" s="119"/>
      <c r="H117" s="118"/>
      <c r="I117" s="106"/>
      <c r="J117" s="117"/>
      <c r="K117" s="118"/>
      <c r="L117" s="118"/>
      <c r="M117" s="118"/>
      <c r="N117" s="118"/>
      <c r="O117" s="118"/>
      <c r="P117" s="117"/>
      <c r="Q117" s="117"/>
      <c r="R117" s="117"/>
      <c r="S117" s="117"/>
      <c r="T117" s="118"/>
      <c r="U117" s="118"/>
      <c r="V117" s="118"/>
      <c r="W117" s="114"/>
      <c r="X117" s="114"/>
      <c r="Y117" s="114"/>
      <c r="Z117" s="114"/>
    </row>
    <row r="118" spans="1:26" ht="12.75">
      <c r="A118" s="134"/>
      <c r="B118" s="111"/>
      <c r="C118" s="111"/>
      <c r="D118" s="111"/>
      <c r="E118" s="137"/>
      <c r="F118" s="118"/>
      <c r="G118" s="119"/>
      <c r="H118" s="118"/>
      <c r="I118" s="106"/>
      <c r="J118" s="117"/>
      <c r="K118" s="118"/>
      <c r="L118" s="118"/>
      <c r="M118" s="118"/>
      <c r="N118" s="113"/>
      <c r="O118" s="113"/>
      <c r="P118" s="117"/>
      <c r="Q118" s="117"/>
      <c r="R118" s="117"/>
      <c r="S118" s="117"/>
      <c r="T118" s="118"/>
      <c r="U118" s="118"/>
      <c r="V118" s="118"/>
      <c r="W118" s="114"/>
      <c r="X118" s="114"/>
      <c r="Y118" s="114"/>
      <c r="Z118" s="114"/>
    </row>
    <row r="119" spans="1:26" ht="12.75">
      <c r="A119" s="135"/>
      <c r="B119" s="111"/>
      <c r="C119" s="111"/>
      <c r="D119" s="111"/>
      <c r="E119" s="137"/>
      <c r="F119" s="119"/>
      <c r="G119" s="119"/>
      <c r="H119" s="118"/>
      <c r="I119" s="106"/>
      <c r="J119" s="117"/>
      <c r="K119" s="118"/>
      <c r="L119" s="118"/>
      <c r="M119" s="118"/>
      <c r="N119" s="118"/>
      <c r="O119" s="118"/>
      <c r="P119" s="117"/>
      <c r="Q119" s="117"/>
      <c r="R119" s="117"/>
      <c r="S119" s="117"/>
      <c r="T119" s="118"/>
      <c r="U119" s="118"/>
      <c r="V119" s="118"/>
      <c r="W119" s="114"/>
      <c r="X119" s="114"/>
      <c r="Y119" s="114"/>
      <c r="Z119" s="114"/>
    </row>
    <row r="120" spans="1:26" ht="12.75">
      <c r="A120" s="135"/>
      <c r="B120" s="136"/>
      <c r="C120" s="136"/>
      <c r="D120" s="136"/>
      <c r="E120" s="137"/>
      <c r="F120" s="119"/>
      <c r="G120" s="119"/>
      <c r="H120" s="118"/>
      <c r="I120" s="106"/>
      <c r="J120" s="117"/>
      <c r="K120" s="118"/>
      <c r="L120" s="118"/>
      <c r="M120" s="118"/>
      <c r="N120" s="118"/>
      <c r="O120" s="118"/>
      <c r="P120" s="117"/>
      <c r="Q120" s="117"/>
      <c r="R120" s="117"/>
      <c r="S120" s="117"/>
      <c r="T120" s="118"/>
      <c r="U120" s="118"/>
      <c r="V120" s="118"/>
      <c r="W120" s="114"/>
      <c r="X120" s="114"/>
      <c r="Y120" s="114"/>
      <c r="Z120" s="114"/>
    </row>
    <row r="121" spans="1:26" ht="12.75">
      <c r="A121" s="135"/>
      <c r="B121" s="136"/>
      <c r="C121" s="136"/>
      <c r="D121" s="136"/>
      <c r="E121" s="137"/>
      <c r="F121" s="119"/>
      <c r="G121" s="119"/>
      <c r="H121" s="118"/>
      <c r="I121" s="106"/>
      <c r="J121" s="117"/>
      <c r="K121" s="118"/>
      <c r="L121" s="118"/>
      <c r="M121" s="118"/>
      <c r="N121" s="118"/>
      <c r="O121" s="113"/>
      <c r="P121" s="117"/>
      <c r="Q121" s="117"/>
      <c r="R121" s="117"/>
      <c r="S121" s="117"/>
      <c r="T121" s="118"/>
      <c r="U121" s="118"/>
      <c r="V121" s="118"/>
      <c r="W121" s="114"/>
      <c r="X121" s="114"/>
      <c r="Y121" s="114"/>
      <c r="Z121" s="114"/>
    </row>
    <row r="122" spans="1:26" ht="12.75">
      <c r="A122" s="153"/>
      <c r="B122" s="150"/>
      <c r="C122" s="150"/>
      <c r="D122" s="150"/>
      <c r="E122" s="139"/>
      <c r="F122" s="118"/>
      <c r="G122" s="119"/>
      <c r="H122" s="118"/>
      <c r="I122" s="106"/>
      <c r="J122" s="117"/>
      <c r="K122" s="118"/>
      <c r="L122" s="118"/>
      <c r="M122" s="118"/>
      <c r="N122" s="118"/>
      <c r="O122" s="118"/>
      <c r="P122" s="117"/>
      <c r="Q122" s="117"/>
      <c r="R122" s="117"/>
      <c r="S122" s="117"/>
      <c r="T122" s="118"/>
      <c r="U122" s="118"/>
      <c r="V122" s="118"/>
      <c r="W122" s="114"/>
      <c r="X122" s="114"/>
      <c r="Y122" s="114"/>
      <c r="Z122" s="114"/>
    </row>
    <row r="123" spans="1:26" ht="12.75">
      <c r="A123" s="153"/>
      <c r="B123" s="150"/>
      <c r="C123" s="150"/>
      <c r="D123" s="150"/>
      <c r="E123" s="139"/>
      <c r="F123" s="118"/>
      <c r="G123" s="119"/>
      <c r="H123" s="118"/>
      <c r="I123" s="106"/>
      <c r="J123" s="117"/>
      <c r="K123" s="118"/>
      <c r="L123" s="118"/>
      <c r="M123" s="118"/>
      <c r="N123" s="118"/>
      <c r="O123" s="118"/>
      <c r="P123" s="117"/>
      <c r="Q123" s="117"/>
      <c r="R123" s="117"/>
      <c r="S123" s="117"/>
      <c r="T123" s="118"/>
      <c r="U123" s="118"/>
      <c r="V123" s="118"/>
      <c r="W123" s="114"/>
      <c r="X123" s="114"/>
      <c r="Y123" s="114"/>
      <c r="Z123" s="114"/>
    </row>
    <row r="124" spans="1:26" ht="12.75">
      <c r="A124" s="153"/>
      <c r="B124" s="150"/>
      <c r="C124" s="150"/>
      <c r="D124" s="150"/>
      <c r="E124" s="139"/>
      <c r="F124" s="118"/>
      <c r="G124" s="119"/>
      <c r="H124" s="118"/>
      <c r="I124" s="106"/>
      <c r="J124" s="117"/>
      <c r="K124" s="118"/>
      <c r="L124" s="118"/>
      <c r="M124" s="118"/>
      <c r="N124" s="118"/>
      <c r="O124" s="118"/>
      <c r="P124" s="117"/>
      <c r="Q124" s="117"/>
      <c r="R124" s="117"/>
      <c r="S124" s="117"/>
      <c r="T124" s="118"/>
      <c r="U124" s="118"/>
      <c r="V124" s="118"/>
      <c r="W124" s="114"/>
      <c r="X124" s="114"/>
      <c r="Y124" s="114"/>
      <c r="Z124" s="114"/>
    </row>
    <row r="125" spans="1:26" ht="12.75">
      <c r="A125" s="153"/>
      <c r="B125" s="150"/>
      <c r="C125" s="150"/>
      <c r="D125" s="150"/>
      <c r="E125" s="139"/>
      <c r="F125" s="118"/>
      <c r="G125" s="119"/>
      <c r="H125" s="118"/>
      <c r="I125" s="106"/>
      <c r="J125" s="117"/>
      <c r="K125" s="118"/>
      <c r="L125" s="118"/>
      <c r="M125" s="118"/>
      <c r="N125" s="118"/>
      <c r="O125" s="118"/>
      <c r="P125" s="117"/>
      <c r="Q125" s="117"/>
      <c r="R125" s="117"/>
      <c r="S125" s="117"/>
      <c r="T125" s="118"/>
      <c r="U125" s="118"/>
      <c r="V125" s="118"/>
      <c r="W125" s="114"/>
      <c r="X125" s="114"/>
      <c r="Y125" s="114"/>
      <c r="Z125" s="114"/>
    </row>
    <row r="126" spans="1:26" ht="12.75">
      <c r="A126" s="153"/>
      <c r="B126" s="150"/>
      <c r="C126" s="150"/>
      <c r="D126" s="150"/>
      <c r="E126" s="139"/>
      <c r="F126" s="118"/>
      <c r="G126" s="119"/>
      <c r="H126" s="118"/>
      <c r="I126" s="106"/>
      <c r="J126" s="117"/>
      <c r="K126" s="118"/>
      <c r="L126" s="118"/>
      <c r="M126" s="118"/>
      <c r="N126" s="118"/>
      <c r="O126" s="118"/>
      <c r="P126" s="117"/>
      <c r="Q126" s="117"/>
      <c r="R126" s="117"/>
      <c r="S126" s="117"/>
      <c r="T126" s="118"/>
      <c r="U126" s="118"/>
      <c r="V126" s="118"/>
      <c r="W126" s="114"/>
      <c r="X126" s="114"/>
      <c r="Y126" s="114"/>
      <c r="Z126" s="114"/>
    </row>
    <row r="127" spans="1:26" ht="12.75">
      <c r="A127" s="153"/>
      <c r="B127" s="150"/>
      <c r="C127" s="150"/>
      <c r="D127" s="150"/>
      <c r="E127" s="139"/>
      <c r="F127" s="118"/>
      <c r="G127" s="119"/>
      <c r="H127" s="118"/>
      <c r="I127" s="106"/>
      <c r="J127" s="117"/>
      <c r="K127" s="118"/>
      <c r="L127" s="118"/>
      <c r="M127" s="118"/>
      <c r="N127" s="118"/>
      <c r="O127" s="118"/>
      <c r="P127" s="117"/>
      <c r="Q127" s="117"/>
      <c r="R127" s="117"/>
      <c r="S127" s="117"/>
      <c r="T127" s="118"/>
      <c r="U127" s="118"/>
      <c r="V127" s="118"/>
      <c r="W127" s="114"/>
      <c r="X127" s="114"/>
      <c r="Y127" s="114"/>
      <c r="Z127" s="114"/>
    </row>
    <row r="128" spans="1:26" ht="12.75">
      <c r="A128" s="153"/>
      <c r="B128" s="150"/>
      <c r="C128" s="150"/>
      <c r="D128" s="150"/>
      <c r="E128" s="139"/>
      <c r="F128" s="118"/>
      <c r="G128" s="119"/>
      <c r="H128" s="118"/>
      <c r="I128" s="106"/>
      <c r="J128" s="117"/>
      <c r="K128" s="118"/>
      <c r="L128" s="118"/>
      <c r="M128" s="118"/>
      <c r="N128" s="118"/>
      <c r="O128" s="118"/>
      <c r="P128" s="117"/>
      <c r="Q128" s="117"/>
      <c r="R128" s="117"/>
      <c r="S128" s="117"/>
      <c r="T128" s="118"/>
      <c r="U128" s="118"/>
      <c r="V128" s="118"/>
      <c r="W128" s="114"/>
      <c r="X128" s="114"/>
      <c r="Y128" s="114"/>
      <c r="Z128" s="114"/>
    </row>
    <row r="129" spans="1:26" ht="12.75">
      <c r="A129" s="153"/>
      <c r="B129" s="150"/>
      <c r="C129" s="150"/>
      <c r="D129" s="150"/>
      <c r="E129" s="139"/>
      <c r="F129" s="118"/>
      <c r="G129" s="119"/>
      <c r="H129" s="118"/>
      <c r="I129" s="106"/>
      <c r="J129" s="117"/>
      <c r="K129" s="118"/>
      <c r="L129" s="118"/>
      <c r="M129" s="118"/>
      <c r="N129" s="118"/>
      <c r="O129" s="118"/>
      <c r="P129" s="117"/>
      <c r="Q129" s="117"/>
      <c r="R129" s="117"/>
      <c r="S129" s="117"/>
      <c r="T129" s="118"/>
      <c r="U129" s="118"/>
      <c r="V129" s="118"/>
      <c r="W129" s="114"/>
      <c r="X129" s="114"/>
      <c r="Y129" s="114"/>
      <c r="Z129" s="114"/>
    </row>
    <row r="130" spans="1:26" ht="12.75">
      <c r="A130" s="153"/>
      <c r="B130" s="150"/>
      <c r="C130" s="150"/>
      <c r="D130" s="150"/>
      <c r="E130" s="139"/>
      <c r="F130" s="118"/>
      <c r="G130" s="119"/>
      <c r="H130" s="118"/>
      <c r="I130" s="106"/>
      <c r="J130" s="117"/>
      <c r="K130" s="118"/>
      <c r="L130" s="118"/>
      <c r="M130" s="118"/>
      <c r="N130" s="118"/>
      <c r="O130" s="118"/>
      <c r="P130" s="117"/>
      <c r="Q130" s="117"/>
      <c r="R130" s="117"/>
      <c r="S130" s="117"/>
      <c r="T130" s="118"/>
      <c r="U130" s="118"/>
      <c r="V130" s="118"/>
      <c r="W130" s="114"/>
      <c r="X130" s="114"/>
      <c r="Y130" s="114"/>
      <c r="Z130" s="114"/>
    </row>
    <row r="131" spans="1:26" ht="12.75">
      <c r="A131" s="153"/>
      <c r="B131" s="150"/>
      <c r="C131" s="150"/>
      <c r="D131" s="150"/>
      <c r="E131" s="139"/>
      <c r="F131" s="118"/>
      <c r="G131" s="119"/>
      <c r="H131" s="118"/>
      <c r="I131" s="106"/>
      <c r="J131" s="117"/>
      <c r="K131" s="118"/>
      <c r="L131" s="118"/>
      <c r="M131" s="118"/>
      <c r="N131" s="118"/>
      <c r="O131" s="118"/>
      <c r="P131" s="117"/>
      <c r="Q131" s="117"/>
      <c r="R131" s="117"/>
      <c r="S131" s="117"/>
      <c r="T131" s="118"/>
      <c r="U131" s="118"/>
      <c r="V131" s="118"/>
      <c r="W131" s="114"/>
      <c r="X131" s="114"/>
      <c r="Y131" s="114"/>
      <c r="Z131" s="114"/>
    </row>
    <row r="132" spans="1:26" ht="12.75">
      <c r="A132" s="153"/>
      <c r="B132" s="150"/>
      <c r="C132" s="150"/>
      <c r="D132" s="150"/>
      <c r="E132" s="139"/>
      <c r="F132" s="118"/>
      <c r="G132" s="119"/>
      <c r="H132" s="118"/>
      <c r="I132" s="106"/>
      <c r="J132" s="117"/>
      <c r="K132" s="118"/>
      <c r="L132" s="118"/>
      <c r="M132" s="118"/>
      <c r="N132" s="118"/>
      <c r="O132" s="118"/>
      <c r="P132" s="117"/>
      <c r="Q132" s="117"/>
      <c r="R132" s="117"/>
      <c r="S132" s="117"/>
      <c r="T132" s="118"/>
      <c r="U132" s="118"/>
      <c r="V132" s="118"/>
      <c r="W132" s="114"/>
      <c r="X132" s="114"/>
      <c r="Y132" s="114"/>
      <c r="Z132" s="114"/>
    </row>
    <row r="133" spans="1:26" ht="12.75">
      <c r="A133" s="153"/>
      <c r="B133" s="150"/>
      <c r="C133" s="150"/>
      <c r="D133" s="150"/>
      <c r="E133" s="139"/>
      <c r="F133" s="118"/>
      <c r="G133" s="119"/>
      <c r="H133" s="118"/>
      <c r="I133" s="106"/>
      <c r="J133" s="117"/>
      <c r="K133" s="118"/>
      <c r="L133" s="118"/>
      <c r="M133" s="118"/>
      <c r="N133" s="118"/>
      <c r="O133" s="118"/>
      <c r="P133" s="117"/>
      <c r="Q133" s="117"/>
      <c r="R133" s="117"/>
      <c r="S133" s="117"/>
      <c r="T133" s="118"/>
      <c r="U133" s="118"/>
      <c r="V133" s="118"/>
      <c r="W133" s="114"/>
      <c r="X133" s="114"/>
      <c r="Y133" s="114"/>
      <c r="Z133" s="114"/>
    </row>
    <row r="134" spans="1:26" ht="12.75">
      <c r="A134" s="153"/>
      <c r="B134" s="150"/>
      <c r="C134" s="150"/>
      <c r="D134" s="150"/>
      <c r="E134" s="139"/>
      <c r="F134" s="118"/>
      <c r="G134" s="119"/>
      <c r="H134" s="118"/>
      <c r="I134" s="106"/>
      <c r="J134" s="117"/>
      <c r="K134" s="118"/>
      <c r="L134" s="118"/>
      <c r="M134" s="118"/>
      <c r="N134" s="118"/>
      <c r="O134" s="118"/>
      <c r="P134" s="117"/>
      <c r="Q134" s="117"/>
      <c r="R134" s="117"/>
      <c r="S134" s="117"/>
      <c r="T134" s="118"/>
      <c r="U134" s="118"/>
      <c r="V134" s="118"/>
      <c r="W134" s="114"/>
      <c r="X134" s="114"/>
      <c r="Y134" s="114"/>
      <c r="Z134" s="114"/>
    </row>
    <row r="135" spans="1:26" ht="12.75">
      <c r="A135" s="153"/>
      <c r="B135" s="150"/>
      <c r="C135" s="150"/>
      <c r="D135" s="150"/>
      <c r="E135" s="139"/>
      <c r="F135" s="118"/>
      <c r="G135" s="119"/>
      <c r="H135" s="118"/>
      <c r="I135" s="106"/>
      <c r="J135" s="117"/>
      <c r="K135" s="118"/>
      <c r="L135" s="118"/>
      <c r="M135" s="118"/>
      <c r="N135" s="118"/>
      <c r="O135" s="118"/>
      <c r="P135" s="117"/>
      <c r="Q135" s="117"/>
      <c r="R135" s="117"/>
      <c r="S135" s="117"/>
      <c r="T135" s="118"/>
      <c r="U135" s="118"/>
      <c r="V135" s="118"/>
      <c r="W135" s="114"/>
      <c r="X135" s="114"/>
      <c r="Y135" s="114"/>
      <c r="Z135" s="114"/>
    </row>
    <row r="136" spans="1:26" ht="12.75">
      <c r="A136" s="153"/>
      <c r="B136" s="150"/>
      <c r="C136" s="150"/>
      <c r="D136" s="150"/>
      <c r="E136" s="139"/>
      <c r="F136" s="118"/>
      <c r="G136" s="119"/>
      <c r="H136" s="118"/>
      <c r="I136" s="106"/>
      <c r="J136" s="117"/>
      <c r="K136" s="118"/>
      <c r="L136" s="118"/>
      <c r="M136" s="118"/>
      <c r="N136" s="118"/>
      <c r="O136" s="118"/>
      <c r="P136" s="117"/>
      <c r="Q136" s="117"/>
      <c r="R136" s="117"/>
      <c r="S136" s="117"/>
      <c r="T136" s="118"/>
      <c r="U136" s="118"/>
      <c r="V136" s="118"/>
      <c r="W136" s="114"/>
      <c r="X136" s="114"/>
      <c r="Y136" s="114"/>
      <c r="Z136" s="114"/>
    </row>
    <row r="137" spans="1:26" ht="12.75">
      <c r="A137" s="153"/>
      <c r="B137" s="150"/>
      <c r="C137" s="150"/>
      <c r="D137" s="150"/>
      <c r="E137" s="139"/>
      <c r="F137" s="118"/>
      <c r="G137" s="119"/>
      <c r="H137" s="118"/>
      <c r="I137" s="106"/>
      <c r="J137" s="117"/>
      <c r="K137" s="118"/>
      <c r="L137" s="118"/>
      <c r="M137" s="118"/>
      <c r="N137" s="118"/>
      <c r="O137" s="118"/>
      <c r="P137" s="117"/>
      <c r="Q137" s="117"/>
      <c r="R137" s="117"/>
      <c r="S137" s="117"/>
      <c r="T137" s="118"/>
      <c r="U137" s="118"/>
      <c r="V137" s="118"/>
      <c r="W137" s="114"/>
      <c r="X137" s="114"/>
      <c r="Y137" s="114"/>
      <c r="Z137" s="114"/>
    </row>
    <row r="138" spans="1:26" ht="12.75">
      <c r="A138" s="153"/>
      <c r="B138" s="150"/>
      <c r="C138" s="150"/>
      <c r="D138" s="150"/>
      <c r="E138" s="139"/>
      <c r="F138" s="118"/>
      <c r="G138" s="119"/>
      <c r="H138" s="118"/>
      <c r="I138" s="106"/>
      <c r="J138" s="117"/>
      <c r="K138" s="118"/>
      <c r="L138" s="118"/>
      <c r="M138" s="118"/>
      <c r="N138" s="118"/>
      <c r="O138" s="118"/>
      <c r="P138" s="117"/>
      <c r="Q138" s="117"/>
      <c r="R138" s="117"/>
      <c r="S138" s="117"/>
      <c r="T138" s="118"/>
      <c r="U138" s="118"/>
      <c r="V138" s="118"/>
      <c r="W138" s="114"/>
      <c r="X138" s="114"/>
      <c r="Y138" s="114"/>
      <c r="Z138" s="114"/>
    </row>
    <row r="139" spans="1:26" ht="12.75">
      <c r="A139" s="135"/>
      <c r="B139" s="111"/>
      <c r="C139" s="111"/>
      <c r="D139" s="111"/>
      <c r="E139" s="137"/>
      <c r="F139" s="119"/>
      <c r="G139" s="119"/>
      <c r="H139" s="118"/>
      <c r="I139" s="106"/>
      <c r="J139" s="117"/>
      <c r="K139" s="118"/>
      <c r="L139" s="118"/>
      <c r="M139" s="118"/>
      <c r="N139" s="118"/>
      <c r="O139" s="118"/>
      <c r="P139" s="117"/>
      <c r="Q139" s="117"/>
      <c r="R139" s="117"/>
      <c r="S139" s="117"/>
      <c r="T139" s="118"/>
      <c r="U139" s="118"/>
      <c r="V139" s="118"/>
      <c r="W139" s="114"/>
      <c r="X139" s="114"/>
      <c r="Y139" s="114"/>
      <c r="Z139" s="114"/>
    </row>
    <row r="140" spans="1:26" ht="12.75">
      <c r="A140" s="135"/>
      <c r="B140" s="136"/>
      <c r="C140" s="136"/>
      <c r="D140" s="136"/>
      <c r="E140" s="137"/>
      <c r="F140" s="119"/>
      <c r="G140" s="119"/>
      <c r="H140" s="118"/>
      <c r="I140" s="106"/>
      <c r="J140" s="117"/>
      <c r="K140" s="118"/>
      <c r="L140" s="118"/>
      <c r="M140" s="118"/>
      <c r="N140" s="118"/>
      <c r="O140" s="118"/>
      <c r="P140" s="117"/>
      <c r="Q140" s="117"/>
      <c r="R140" s="117"/>
      <c r="S140" s="117"/>
      <c r="T140" s="118"/>
      <c r="U140" s="118"/>
      <c r="V140" s="118"/>
      <c r="W140" s="114"/>
      <c r="X140" s="114"/>
      <c r="Y140" s="114"/>
      <c r="Z140" s="114"/>
    </row>
    <row r="141" spans="1:26" ht="12.75">
      <c r="A141" s="135"/>
      <c r="B141" s="136"/>
      <c r="C141" s="136"/>
      <c r="D141" s="136"/>
      <c r="E141" s="137"/>
      <c r="F141" s="119"/>
      <c r="G141" s="119"/>
      <c r="H141" s="118"/>
      <c r="I141" s="106"/>
      <c r="J141" s="117"/>
      <c r="K141" s="118"/>
      <c r="L141" s="118"/>
      <c r="M141" s="118"/>
      <c r="N141" s="118"/>
      <c r="O141" s="113"/>
      <c r="P141" s="117"/>
      <c r="Q141" s="117"/>
      <c r="R141" s="117"/>
      <c r="S141" s="117"/>
      <c r="T141" s="118"/>
      <c r="U141" s="118"/>
      <c r="V141" s="118"/>
      <c r="W141" s="114"/>
      <c r="X141" s="114"/>
      <c r="Y141" s="114"/>
      <c r="Z141" s="114"/>
    </row>
    <row r="142" spans="1:26" ht="12.75">
      <c r="A142" s="131"/>
      <c r="B142" s="111"/>
      <c r="C142" s="111"/>
      <c r="D142" s="111"/>
      <c r="E142" s="137"/>
      <c r="F142" s="119"/>
      <c r="G142" s="119"/>
      <c r="H142" s="118"/>
      <c r="I142" s="106"/>
      <c r="J142" s="117"/>
      <c r="K142" s="118"/>
      <c r="L142" s="118"/>
      <c r="M142" s="118"/>
      <c r="N142" s="118"/>
      <c r="O142" s="118"/>
      <c r="P142" s="117"/>
      <c r="Q142" s="117"/>
      <c r="R142" s="117"/>
      <c r="S142" s="117"/>
      <c r="T142" s="118"/>
      <c r="U142" s="118"/>
      <c r="V142" s="118"/>
      <c r="W142" s="114"/>
      <c r="X142" s="114"/>
      <c r="Y142" s="114"/>
      <c r="Z142" s="114"/>
    </row>
    <row r="143" spans="1:26" ht="12.75">
      <c r="A143" s="151"/>
      <c r="B143" s="150"/>
      <c r="C143" s="150"/>
      <c r="D143" s="150"/>
      <c r="E143" s="137"/>
      <c r="F143" s="119"/>
      <c r="G143" s="119"/>
      <c r="H143" s="118"/>
      <c r="I143" s="106"/>
      <c r="J143" s="122"/>
      <c r="K143" s="118"/>
      <c r="L143" s="118"/>
      <c r="M143" s="118"/>
      <c r="N143" s="118"/>
      <c r="O143" s="118"/>
      <c r="P143" s="117"/>
      <c r="Q143" s="117"/>
      <c r="R143" s="117"/>
      <c r="S143" s="117"/>
      <c r="T143" s="118"/>
      <c r="U143" s="118"/>
      <c r="V143" s="118"/>
      <c r="W143" s="114"/>
      <c r="X143" s="114"/>
      <c r="Y143" s="114"/>
      <c r="Z143" s="114"/>
    </row>
    <row r="144" spans="1:26" ht="12.75">
      <c r="A144" s="151"/>
      <c r="B144" s="150"/>
      <c r="C144" s="150"/>
      <c r="D144" s="150"/>
      <c r="E144" s="137"/>
      <c r="F144" s="119"/>
      <c r="G144" s="119"/>
      <c r="H144" s="118"/>
      <c r="I144" s="106"/>
      <c r="J144" s="121"/>
      <c r="K144" s="118"/>
      <c r="L144" s="118"/>
      <c r="M144" s="118"/>
      <c r="N144" s="118"/>
      <c r="O144" s="118"/>
      <c r="P144" s="117"/>
      <c r="Q144" s="117"/>
      <c r="R144" s="117"/>
      <c r="S144" s="117"/>
      <c r="T144" s="118"/>
      <c r="U144" s="118"/>
      <c r="V144" s="118"/>
      <c r="W144" s="114"/>
      <c r="X144" s="114"/>
      <c r="Y144" s="114"/>
      <c r="Z144" s="114"/>
    </row>
    <row r="145" spans="1:26" ht="12.75">
      <c r="A145" s="132"/>
      <c r="B145" s="111"/>
      <c r="C145" s="111"/>
      <c r="D145" s="111"/>
      <c r="E145" s="137"/>
      <c r="F145" s="119"/>
      <c r="G145" s="119"/>
      <c r="H145" s="118"/>
      <c r="I145" s="106"/>
      <c r="J145" s="121"/>
      <c r="K145" s="118"/>
      <c r="L145" s="118"/>
      <c r="M145" s="118"/>
      <c r="N145" s="118"/>
      <c r="O145" s="118"/>
      <c r="P145" s="117"/>
      <c r="Q145" s="117"/>
      <c r="R145" s="117"/>
      <c r="S145" s="117"/>
      <c r="T145" s="118"/>
      <c r="U145" s="118"/>
      <c r="V145" s="118"/>
      <c r="W145" s="114"/>
      <c r="X145" s="114"/>
      <c r="Y145" s="114"/>
      <c r="Z145" s="114"/>
    </row>
    <row r="146" spans="1:26" ht="12.75">
      <c r="A146" s="131"/>
      <c r="B146" s="111"/>
      <c r="C146" s="111"/>
      <c r="D146" s="111"/>
      <c r="E146" s="137"/>
      <c r="F146" s="119"/>
      <c r="G146" s="119"/>
      <c r="H146" s="118"/>
      <c r="I146" s="106"/>
      <c r="J146" s="121"/>
      <c r="K146" s="118"/>
      <c r="L146" s="118"/>
      <c r="M146" s="118"/>
      <c r="N146" s="118"/>
      <c r="O146" s="118"/>
      <c r="P146" s="117"/>
      <c r="Q146" s="117"/>
      <c r="R146" s="117"/>
      <c r="S146" s="117"/>
      <c r="T146" s="118"/>
      <c r="U146" s="118"/>
      <c r="V146" s="118"/>
      <c r="W146" s="114"/>
      <c r="X146" s="114"/>
      <c r="Y146" s="114"/>
      <c r="Z146" s="114"/>
    </row>
    <row r="147" spans="1:26" ht="12.75">
      <c r="A147" s="133"/>
      <c r="B147" s="111"/>
      <c r="C147" s="111"/>
      <c r="D147" s="111"/>
      <c r="E147" s="137"/>
      <c r="F147" s="119"/>
      <c r="G147" s="119"/>
      <c r="H147" s="118"/>
      <c r="I147" s="106"/>
      <c r="J147" s="121"/>
      <c r="K147" s="118"/>
      <c r="L147" s="118"/>
      <c r="M147" s="118"/>
      <c r="N147" s="118"/>
      <c r="O147" s="118"/>
      <c r="P147" s="117"/>
      <c r="Q147" s="117"/>
      <c r="R147" s="117"/>
      <c r="S147" s="117"/>
      <c r="T147" s="118"/>
      <c r="U147" s="118"/>
      <c r="V147" s="118"/>
      <c r="W147" s="114"/>
      <c r="X147" s="114"/>
      <c r="Y147" s="114"/>
      <c r="Z147" s="114"/>
    </row>
    <row r="148" spans="1:26" ht="12.75">
      <c r="A148" s="131"/>
      <c r="B148" s="150"/>
      <c r="C148" s="150"/>
      <c r="D148" s="150"/>
      <c r="E148" s="137"/>
      <c r="F148" s="119"/>
      <c r="G148" s="119"/>
      <c r="H148" s="118"/>
      <c r="I148" s="106"/>
      <c r="J148" s="121"/>
      <c r="K148" s="118"/>
      <c r="L148" s="118"/>
      <c r="M148" s="118"/>
      <c r="N148" s="118"/>
      <c r="O148" s="118"/>
      <c r="P148" s="117"/>
      <c r="Q148" s="117"/>
      <c r="R148" s="117"/>
      <c r="S148" s="117"/>
      <c r="T148" s="118"/>
      <c r="U148" s="118"/>
      <c r="V148" s="118"/>
      <c r="W148" s="114"/>
      <c r="X148" s="114"/>
      <c r="Y148" s="114"/>
      <c r="Z148" s="114"/>
    </row>
    <row r="149" spans="1:26" ht="12.75">
      <c r="A149" s="154"/>
      <c r="B149" s="150"/>
      <c r="C149" s="150"/>
      <c r="D149" s="150"/>
      <c r="E149" s="137"/>
      <c r="F149" s="119"/>
      <c r="G149" s="119"/>
      <c r="H149" s="118"/>
      <c r="I149" s="106"/>
      <c r="J149" s="121"/>
      <c r="K149" s="118"/>
      <c r="L149" s="118"/>
      <c r="M149" s="118"/>
      <c r="N149" s="118"/>
      <c r="O149" s="118"/>
      <c r="P149" s="117"/>
      <c r="Q149" s="117"/>
      <c r="R149" s="117"/>
      <c r="S149" s="117"/>
      <c r="T149" s="118"/>
      <c r="U149" s="118"/>
      <c r="V149" s="118"/>
      <c r="W149" s="114"/>
      <c r="X149" s="114"/>
      <c r="Y149" s="114"/>
      <c r="Z149" s="114"/>
    </row>
    <row r="150" spans="1:26" ht="12.75">
      <c r="A150" s="154"/>
      <c r="B150" s="150"/>
      <c r="C150" s="150"/>
      <c r="D150" s="150"/>
      <c r="E150" s="137"/>
      <c r="F150" s="119"/>
      <c r="G150" s="119"/>
      <c r="H150" s="118"/>
      <c r="I150" s="106"/>
      <c r="J150" s="121"/>
      <c r="K150" s="118"/>
      <c r="L150" s="118"/>
      <c r="M150" s="118"/>
      <c r="N150" s="118"/>
      <c r="O150" s="118"/>
      <c r="P150" s="117"/>
      <c r="Q150" s="117"/>
      <c r="R150" s="117"/>
      <c r="S150" s="117"/>
      <c r="T150" s="118"/>
      <c r="U150" s="118"/>
      <c r="V150" s="118"/>
      <c r="W150" s="114"/>
      <c r="X150" s="114"/>
      <c r="Y150" s="114"/>
      <c r="Z150" s="114"/>
    </row>
    <row r="151" spans="1:26" ht="12.75">
      <c r="A151" s="153"/>
      <c r="B151" s="150"/>
      <c r="C151" s="150"/>
      <c r="D151" s="150"/>
      <c r="E151" s="139"/>
      <c r="F151" s="118"/>
      <c r="G151" s="119"/>
      <c r="H151" s="118"/>
      <c r="I151" s="106"/>
      <c r="J151" s="121"/>
      <c r="K151" s="118"/>
      <c r="L151" s="118"/>
      <c r="M151" s="118"/>
      <c r="N151" s="113"/>
      <c r="O151" s="113"/>
      <c r="P151" s="117"/>
      <c r="Q151" s="117"/>
      <c r="R151" s="117"/>
      <c r="S151" s="117"/>
      <c r="T151" s="118"/>
      <c r="U151" s="118"/>
      <c r="V151" s="118"/>
      <c r="W151" s="114"/>
      <c r="X151" s="114"/>
      <c r="Y151" s="114"/>
      <c r="Z151" s="114"/>
    </row>
    <row r="152" spans="1:26" ht="12.75">
      <c r="A152" s="153"/>
      <c r="B152" s="150"/>
      <c r="C152" s="150"/>
      <c r="D152" s="150"/>
      <c r="E152" s="139"/>
      <c r="F152" s="118"/>
      <c r="G152" s="119"/>
      <c r="H152" s="118"/>
      <c r="I152" s="106"/>
      <c r="J152" s="121"/>
      <c r="K152" s="118"/>
      <c r="L152" s="118"/>
      <c r="M152" s="118"/>
      <c r="N152" s="118"/>
      <c r="O152" s="118"/>
      <c r="P152" s="117"/>
      <c r="Q152" s="117"/>
      <c r="R152" s="117"/>
      <c r="S152" s="117"/>
      <c r="T152" s="118"/>
      <c r="U152" s="118"/>
      <c r="V152" s="118"/>
      <c r="W152" s="114"/>
      <c r="X152" s="114"/>
      <c r="Y152" s="114"/>
      <c r="Z152" s="114"/>
    </row>
    <row r="153" spans="1:26" ht="12.75">
      <c r="A153" s="153"/>
      <c r="B153" s="150"/>
      <c r="C153" s="150"/>
      <c r="D153" s="150"/>
      <c r="E153" s="139"/>
      <c r="F153" s="118"/>
      <c r="G153" s="119"/>
      <c r="H153" s="118"/>
      <c r="I153" s="106"/>
      <c r="J153" s="121"/>
      <c r="K153" s="118"/>
      <c r="L153" s="118"/>
      <c r="M153" s="118"/>
      <c r="N153" s="118"/>
      <c r="O153" s="118"/>
      <c r="P153" s="117"/>
      <c r="Q153" s="117"/>
      <c r="R153" s="117"/>
      <c r="S153" s="117"/>
      <c r="T153" s="118"/>
      <c r="U153" s="118"/>
      <c r="V153" s="118"/>
      <c r="W153" s="114"/>
      <c r="X153" s="114"/>
      <c r="Y153" s="114"/>
      <c r="Z153" s="114"/>
    </row>
    <row r="154" spans="1:26" ht="12.75">
      <c r="A154" s="153"/>
      <c r="B154" s="150"/>
      <c r="C154" s="150"/>
      <c r="D154" s="150"/>
      <c r="E154" s="139"/>
      <c r="F154" s="118"/>
      <c r="G154" s="119"/>
      <c r="H154" s="118"/>
      <c r="I154" s="106"/>
      <c r="J154" s="121"/>
      <c r="K154" s="118"/>
      <c r="L154" s="118"/>
      <c r="M154" s="118"/>
      <c r="N154" s="118"/>
      <c r="O154" s="118"/>
      <c r="P154" s="117"/>
      <c r="Q154" s="117"/>
      <c r="R154" s="117"/>
      <c r="S154" s="117"/>
      <c r="T154" s="118"/>
      <c r="U154" s="118"/>
      <c r="V154" s="118"/>
      <c r="W154" s="114"/>
      <c r="X154" s="114"/>
      <c r="Y154" s="114"/>
      <c r="Z154" s="114"/>
    </row>
    <row r="155" spans="1:26" ht="12.75">
      <c r="A155" s="113"/>
      <c r="B155" s="111"/>
      <c r="C155" s="111"/>
      <c r="D155" s="111"/>
      <c r="E155" s="137"/>
      <c r="F155" s="118"/>
      <c r="G155" s="119"/>
      <c r="H155" s="118"/>
      <c r="I155" s="106"/>
      <c r="J155" s="121"/>
      <c r="K155" s="118"/>
      <c r="L155" s="118"/>
      <c r="M155" s="118"/>
      <c r="N155" s="118"/>
      <c r="O155" s="113"/>
      <c r="P155" s="117"/>
      <c r="Q155" s="117"/>
      <c r="R155" s="117"/>
      <c r="S155" s="117"/>
      <c r="T155" s="118"/>
      <c r="U155" s="118"/>
      <c r="V155" s="118"/>
      <c r="W155" s="114"/>
      <c r="X155" s="114"/>
      <c r="Y155" s="114"/>
      <c r="Z155" s="114"/>
    </row>
    <row r="156" spans="1:26" ht="12.75">
      <c r="A156" s="131"/>
      <c r="B156" s="150"/>
      <c r="C156" s="150"/>
      <c r="D156" s="150"/>
      <c r="E156" s="137"/>
      <c r="F156" s="119"/>
      <c r="G156" s="119"/>
      <c r="H156" s="118"/>
      <c r="I156" s="106"/>
      <c r="J156" s="121"/>
      <c r="K156" s="118"/>
      <c r="L156" s="118"/>
      <c r="M156" s="118"/>
      <c r="N156" s="118"/>
      <c r="O156" s="118"/>
      <c r="P156" s="117"/>
      <c r="Q156" s="117"/>
      <c r="R156" s="117"/>
      <c r="S156" s="117"/>
      <c r="T156" s="118"/>
      <c r="U156" s="118"/>
      <c r="V156" s="118"/>
      <c r="W156" s="114"/>
      <c r="X156" s="114"/>
      <c r="Y156" s="114"/>
      <c r="Z156" s="114"/>
    </row>
    <row r="157" spans="1:26" ht="12.75">
      <c r="A157" s="110"/>
      <c r="B157" s="150"/>
      <c r="C157" s="150"/>
      <c r="D157" s="150"/>
      <c r="E157" s="137"/>
      <c r="F157" s="119"/>
      <c r="G157" s="119"/>
      <c r="H157" s="118"/>
      <c r="I157" s="106"/>
      <c r="J157" s="121"/>
      <c r="K157" s="118"/>
      <c r="L157" s="118"/>
      <c r="M157" s="118"/>
      <c r="N157" s="118"/>
      <c r="O157" s="118"/>
      <c r="P157" s="117"/>
      <c r="Q157" s="117"/>
      <c r="R157" s="117"/>
      <c r="S157" s="117"/>
      <c r="T157" s="118"/>
      <c r="U157" s="118"/>
      <c r="V157" s="118"/>
      <c r="W157" s="114"/>
      <c r="X157" s="114"/>
      <c r="Y157" s="114"/>
      <c r="Z157" s="114"/>
    </row>
    <row r="158" spans="1:26" ht="12.75">
      <c r="A158" s="154"/>
      <c r="B158" s="150"/>
      <c r="C158" s="150"/>
      <c r="D158" s="150"/>
      <c r="E158" s="139"/>
      <c r="F158" s="119"/>
      <c r="G158" s="119"/>
      <c r="H158" s="118"/>
      <c r="I158" s="106"/>
      <c r="J158" s="121"/>
      <c r="K158" s="118"/>
      <c r="L158" s="118"/>
      <c r="M158" s="118"/>
      <c r="N158" s="118"/>
      <c r="O158" s="118"/>
      <c r="P158" s="117"/>
      <c r="Q158" s="117"/>
      <c r="R158" s="117"/>
      <c r="S158" s="117"/>
      <c r="T158" s="118"/>
      <c r="U158" s="118"/>
      <c r="V158" s="118"/>
      <c r="W158" s="114"/>
      <c r="X158" s="114"/>
      <c r="Y158" s="114"/>
      <c r="Z158" s="114"/>
    </row>
    <row r="159" spans="1:26" ht="12.75">
      <c r="A159" s="155"/>
      <c r="B159" s="150"/>
      <c r="C159" s="150"/>
      <c r="D159" s="150"/>
      <c r="E159" s="139"/>
      <c r="F159" s="119"/>
      <c r="G159" s="119"/>
      <c r="H159" s="118"/>
      <c r="I159" s="106"/>
      <c r="J159" s="117"/>
      <c r="K159" s="118"/>
      <c r="L159" s="118"/>
      <c r="M159" s="118"/>
      <c r="N159" s="118"/>
      <c r="O159" s="118"/>
      <c r="P159" s="117"/>
      <c r="Q159" s="117"/>
      <c r="R159" s="117"/>
      <c r="S159" s="117"/>
      <c r="T159" s="118"/>
      <c r="U159" s="118"/>
      <c r="V159" s="118"/>
      <c r="W159" s="114"/>
      <c r="X159" s="114"/>
      <c r="Y159" s="114"/>
      <c r="Z159" s="114"/>
    </row>
    <row r="160" spans="1:26" ht="12.75">
      <c r="A160" s="113"/>
      <c r="B160" s="111"/>
      <c r="C160" s="111"/>
      <c r="D160" s="111"/>
      <c r="E160" s="137"/>
      <c r="F160" s="119"/>
      <c r="G160" s="119"/>
      <c r="H160" s="118"/>
      <c r="I160" s="106"/>
      <c r="J160" s="117"/>
      <c r="K160" s="118"/>
      <c r="L160" s="118"/>
      <c r="M160" s="118"/>
      <c r="N160" s="118"/>
      <c r="O160" s="118"/>
      <c r="P160" s="117"/>
      <c r="Q160" s="117"/>
      <c r="R160" s="117"/>
      <c r="S160" s="117"/>
      <c r="T160" s="118"/>
      <c r="U160" s="118"/>
      <c r="V160" s="118"/>
      <c r="W160" s="114"/>
      <c r="X160" s="114"/>
      <c r="Y160" s="114"/>
      <c r="Z160" s="114"/>
    </row>
    <row r="161" spans="1:26" ht="12.75">
      <c r="A161" s="140"/>
      <c r="B161" s="111"/>
      <c r="C161" s="111"/>
      <c r="D161" s="111"/>
      <c r="E161" s="137"/>
      <c r="F161" s="119"/>
      <c r="G161" s="119"/>
      <c r="H161" s="118"/>
      <c r="I161" s="106"/>
      <c r="J161" s="117"/>
      <c r="K161" s="118"/>
      <c r="L161" s="118"/>
      <c r="M161" s="118"/>
      <c r="N161" s="118"/>
      <c r="O161" s="118"/>
      <c r="P161" s="117"/>
      <c r="Q161" s="117"/>
      <c r="R161" s="117"/>
      <c r="S161" s="117"/>
      <c r="T161" s="118"/>
      <c r="U161" s="118"/>
      <c r="V161" s="118"/>
      <c r="W161" s="114"/>
      <c r="X161" s="114"/>
      <c r="Y161" s="114"/>
      <c r="Z161" s="114"/>
    </row>
    <row r="162" spans="1:26" ht="12.75">
      <c r="A162" s="131"/>
      <c r="B162" s="111"/>
      <c r="C162" s="111"/>
      <c r="D162" s="111"/>
      <c r="E162" s="137"/>
      <c r="F162" s="119"/>
      <c r="G162" s="119"/>
      <c r="H162" s="118"/>
      <c r="I162" s="106"/>
      <c r="J162" s="117"/>
      <c r="K162" s="118"/>
      <c r="L162" s="118"/>
      <c r="M162" s="118"/>
      <c r="N162" s="118"/>
      <c r="O162" s="118"/>
      <c r="P162" s="117"/>
      <c r="Q162" s="117"/>
      <c r="R162" s="117"/>
      <c r="S162" s="117"/>
      <c r="T162" s="118"/>
      <c r="U162" s="118"/>
      <c r="V162" s="118"/>
      <c r="W162" s="114"/>
      <c r="X162" s="114"/>
      <c r="Y162" s="114"/>
      <c r="Z162" s="114"/>
    </row>
    <row r="163" spans="1:26" ht="12.75">
      <c r="A163" s="151"/>
      <c r="B163" s="150"/>
      <c r="C163" s="150"/>
      <c r="D163" s="150"/>
      <c r="E163" s="137"/>
      <c r="F163" s="119"/>
      <c r="G163" s="119"/>
      <c r="H163" s="118"/>
      <c r="I163" s="106"/>
      <c r="J163" s="117"/>
      <c r="K163" s="118"/>
      <c r="L163" s="118"/>
      <c r="M163" s="118"/>
      <c r="N163" s="118"/>
      <c r="O163" s="118"/>
      <c r="P163" s="117"/>
      <c r="Q163" s="117"/>
      <c r="R163" s="117"/>
      <c r="S163" s="117"/>
      <c r="T163" s="118"/>
      <c r="U163" s="118"/>
      <c r="V163" s="118"/>
      <c r="W163" s="114"/>
      <c r="X163" s="114"/>
      <c r="Y163" s="114"/>
      <c r="Z163" s="114"/>
    </row>
    <row r="164" spans="1:26" ht="12.75">
      <c r="A164" s="151"/>
      <c r="B164" s="150"/>
      <c r="C164" s="150"/>
      <c r="D164" s="150"/>
      <c r="E164" s="137"/>
      <c r="F164" s="119"/>
      <c r="G164" s="119"/>
      <c r="H164" s="118"/>
      <c r="I164" s="106"/>
      <c r="J164" s="117"/>
      <c r="K164" s="118"/>
      <c r="L164" s="118"/>
      <c r="M164" s="118"/>
      <c r="N164" s="118"/>
      <c r="O164" s="118"/>
      <c r="P164" s="117"/>
      <c r="Q164" s="117"/>
      <c r="R164" s="117"/>
      <c r="S164" s="117"/>
      <c r="T164" s="118"/>
      <c r="U164" s="118"/>
      <c r="V164" s="118"/>
      <c r="W164" s="114"/>
      <c r="X164" s="114"/>
      <c r="Y164" s="114"/>
      <c r="Z164" s="114"/>
    </row>
    <row r="165" spans="1:26" ht="12.75">
      <c r="A165" s="131"/>
      <c r="B165" s="111"/>
      <c r="C165" s="111"/>
      <c r="D165" s="111"/>
      <c r="E165" s="137"/>
      <c r="F165" s="119"/>
      <c r="G165" s="119"/>
      <c r="H165" s="118"/>
      <c r="I165" s="106"/>
      <c r="J165" s="121"/>
      <c r="K165" s="118"/>
      <c r="L165" s="118"/>
      <c r="M165" s="118"/>
      <c r="N165" s="118"/>
      <c r="O165" s="118"/>
      <c r="P165" s="117"/>
      <c r="Q165" s="117"/>
      <c r="R165" s="117"/>
      <c r="S165" s="117"/>
      <c r="T165" s="118"/>
      <c r="U165" s="118"/>
      <c r="V165" s="118"/>
      <c r="W165" s="114"/>
      <c r="X165" s="114"/>
      <c r="Y165" s="114"/>
      <c r="Z165" s="114"/>
    </row>
    <row r="166" spans="1:26" ht="12.75">
      <c r="A166" s="135"/>
      <c r="B166" s="111"/>
      <c r="C166" s="111"/>
      <c r="D166" s="111"/>
      <c r="E166" s="137"/>
      <c r="F166" s="119"/>
      <c r="G166" s="119"/>
      <c r="H166" s="118"/>
      <c r="I166" s="106"/>
      <c r="J166" s="117"/>
      <c r="K166" s="118"/>
      <c r="L166" s="118"/>
      <c r="M166" s="118"/>
      <c r="N166" s="118"/>
      <c r="O166" s="118"/>
      <c r="P166" s="117"/>
      <c r="Q166" s="117"/>
      <c r="R166" s="117"/>
      <c r="S166" s="117"/>
      <c r="T166" s="118"/>
      <c r="U166" s="118"/>
      <c r="V166" s="118"/>
      <c r="W166" s="114"/>
      <c r="X166" s="114"/>
      <c r="Y166" s="114"/>
      <c r="Z166" s="114"/>
    </row>
    <row r="167" spans="1:26" ht="12.75">
      <c r="A167" s="135"/>
      <c r="B167" s="136"/>
      <c r="C167" s="136"/>
      <c r="D167" s="136"/>
      <c r="E167" s="137"/>
      <c r="F167" s="119"/>
      <c r="G167" s="119"/>
      <c r="H167" s="118"/>
      <c r="I167" s="106"/>
      <c r="J167" s="117"/>
      <c r="K167" s="118"/>
      <c r="L167" s="118"/>
      <c r="M167" s="118"/>
      <c r="N167" s="118"/>
      <c r="O167" s="118"/>
      <c r="P167" s="117"/>
      <c r="Q167" s="117"/>
      <c r="R167" s="117"/>
      <c r="S167" s="117"/>
      <c r="T167" s="118"/>
      <c r="U167" s="118"/>
      <c r="V167" s="118"/>
      <c r="W167" s="114"/>
      <c r="X167" s="114"/>
      <c r="Y167" s="114"/>
      <c r="Z167" s="114"/>
    </row>
    <row r="168" spans="1:26" ht="12.75">
      <c r="A168" s="135"/>
      <c r="B168" s="136"/>
      <c r="C168" s="136"/>
      <c r="D168" s="136"/>
      <c r="E168" s="137"/>
      <c r="F168" s="119"/>
      <c r="G168" s="119"/>
      <c r="H168" s="118"/>
      <c r="I168" s="106"/>
      <c r="J168" s="117"/>
      <c r="K168" s="118"/>
      <c r="L168" s="118"/>
      <c r="M168" s="118"/>
      <c r="N168" s="118"/>
      <c r="O168" s="118"/>
      <c r="P168" s="117"/>
      <c r="Q168" s="117"/>
      <c r="R168" s="117"/>
      <c r="S168" s="117"/>
      <c r="T168" s="118"/>
      <c r="U168" s="118"/>
      <c r="V168" s="118"/>
      <c r="W168" s="114"/>
      <c r="X168" s="114"/>
      <c r="Y168" s="114"/>
      <c r="Z168" s="114"/>
    </row>
    <row r="169" spans="1:26" ht="12.75">
      <c r="A169" s="153"/>
      <c r="B169" s="150"/>
      <c r="C169" s="150"/>
      <c r="D169" s="150"/>
      <c r="E169" s="139"/>
      <c r="F169" s="118"/>
      <c r="G169" s="119"/>
      <c r="H169" s="118"/>
      <c r="I169" s="106"/>
      <c r="J169" s="117"/>
      <c r="K169" s="118"/>
      <c r="L169" s="118"/>
      <c r="M169" s="118"/>
      <c r="N169" s="113"/>
      <c r="O169" s="113"/>
      <c r="P169" s="117"/>
      <c r="Q169" s="117"/>
      <c r="R169" s="117"/>
      <c r="S169" s="117"/>
      <c r="T169" s="118"/>
      <c r="U169" s="118"/>
      <c r="V169" s="118"/>
      <c r="W169" s="114"/>
      <c r="X169" s="114"/>
      <c r="Y169" s="114"/>
      <c r="Z169" s="114"/>
    </row>
    <row r="170" spans="1:26" ht="12.75">
      <c r="A170" s="153"/>
      <c r="B170" s="150"/>
      <c r="C170" s="150"/>
      <c r="D170" s="150"/>
      <c r="E170" s="139"/>
      <c r="F170" s="118"/>
      <c r="G170" s="119"/>
      <c r="H170" s="118"/>
      <c r="I170" s="106"/>
      <c r="J170" s="117"/>
      <c r="K170" s="118"/>
      <c r="L170" s="118"/>
      <c r="M170" s="118"/>
      <c r="N170" s="118"/>
      <c r="O170" s="118"/>
      <c r="P170" s="117"/>
      <c r="Q170" s="117"/>
      <c r="R170" s="117"/>
      <c r="S170" s="117"/>
      <c r="T170" s="118"/>
      <c r="U170" s="118"/>
      <c r="V170" s="118"/>
      <c r="W170" s="114"/>
      <c r="X170" s="114"/>
      <c r="Y170" s="114"/>
      <c r="Z170" s="114"/>
    </row>
    <row r="171" spans="1:26" ht="12.75">
      <c r="A171" s="153"/>
      <c r="B171" s="150"/>
      <c r="C171" s="150"/>
      <c r="D171" s="150"/>
      <c r="E171" s="139"/>
      <c r="F171" s="118"/>
      <c r="G171" s="119"/>
      <c r="H171" s="118"/>
      <c r="I171" s="106"/>
      <c r="J171" s="117"/>
      <c r="K171" s="118"/>
      <c r="L171" s="118"/>
      <c r="M171" s="118"/>
      <c r="N171" s="118"/>
      <c r="O171" s="118"/>
      <c r="P171" s="117"/>
      <c r="Q171" s="117"/>
      <c r="R171" s="117"/>
      <c r="S171" s="117"/>
      <c r="T171" s="118"/>
      <c r="U171" s="118"/>
      <c r="V171" s="118"/>
      <c r="W171" s="114"/>
      <c r="X171" s="114"/>
      <c r="Y171" s="114"/>
      <c r="Z171" s="114"/>
    </row>
    <row r="172" spans="1:26" ht="12.75">
      <c r="A172" s="153"/>
      <c r="B172" s="150"/>
      <c r="C172" s="150"/>
      <c r="D172" s="150"/>
      <c r="E172" s="139"/>
      <c r="F172" s="118"/>
      <c r="G172" s="119"/>
      <c r="H172" s="118"/>
      <c r="I172" s="106"/>
      <c r="J172" s="117"/>
      <c r="K172" s="118"/>
      <c r="L172" s="118"/>
      <c r="M172" s="118"/>
      <c r="N172" s="118"/>
      <c r="O172" s="118"/>
      <c r="P172" s="117"/>
      <c r="Q172" s="117"/>
      <c r="R172" s="117"/>
      <c r="S172" s="117"/>
      <c r="T172" s="118"/>
      <c r="U172" s="118"/>
      <c r="V172" s="118"/>
      <c r="W172" s="114"/>
      <c r="X172" s="114"/>
      <c r="Y172" s="114"/>
      <c r="Z172" s="114"/>
    </row>
    <row r="173" spans="1:26" ht="12.75">
      <c r="A173" s="153"/>
      <c r="B173" s="150"/>
      <c r="C173" s="150"/>
      <c r="D173" s="150"/>
      <c r="E173" s="139"/>
      <c r="F173" s="118"/>
      <c r="G173" s="119"/>
      <c r="H173" s="118"/>
      <c r="I173" s="106"/>
      <c r="J173" s="117"/>
      <c r="K173" s="118"/>
      <c r="L173" s="118"/>
      <c r="M173" s="118"/>
      <c r="N173" s="118"/>
      <c r="O173" s="118"/>
      <c r="P173" s="117"/>
      <c r="Q173" s="117"/>
      <c r="R173" s="117"/>
      <c r="S173" s="117"/>
      <c r="T173" s="118"/>
      <c r="U173" s="118"/>
      <c r="V173" s="118"/>
      <c r="W173" s="114"/>
      <c r="X173" s="114"/>
      <c r="Y173" s="114"/>
      <c r="Z173" s="114"/>
    </row>
    <row r="174" spans="1:26" ht="12.75">
      <c r="A174" s="153"/>
      <c r="B174" s="150"/>
      <c r="C174" s="150"/>
      <c r="D174" s="150"/>
      <c r="E174" s="139"/>
      <c r="F174" s="118"/>
      <c r="G174" s="119"/>
      <c r="H174" s="118"/>
      <c r="I174" s="106"/>
      <c r="J174" s="117"/>
      <c r="K174" s="118"/>
      <c r="L174" s="118"/>
      <c r="M174" s="118"/>
      <c r="N174" s="118"/>
      <c r="O174" s="118"/>
      <c r="P174" s="117"/>
      <c r="Q174" s="117"/>
      <c r="R174" s="117"/>
      <c r="S174" s="117"/>
      <c r="T174" s="118"/>
      <c r="U174" s="118"/>
      <c r="V174" s="118"/>
      <c r="W174" s="114"/>
      <c r="X174" s="114"/>
      <c r="Y174" s="114"/>
      <c r="Z174" s="114"/>
    </row>
    <row r="175" spans="1:26" ht="12.75">
      <c r="A175" s="153"/>
      <c r="B175" s="150"/>
      <c r="C175" s="150"/>
      <c r="D175" s="150"/>
      <c r="E175" s="139"/>
      <c r="F175" s="118"/>
      <c r="G175" s="119"/>
      <c r="H175" s="118"/>
      <c r="I175" s="106"/>
      <c r="J175" s="117"/>
      <c r="K175" s="118"/>
      <c r="L175" s="118"/>
      <c r="M175" s="118"/>
      <c r="N175" s="118"/>
      <c r="O175" s="118"/>
      <c r="P175" s="117"/>
      <c r="Q175" s="117"/>
      <c r="R175" s="117"/>
      <c r="S175" s="117"/>
      <c r="T175" s="118"/>
      <c r="U175" s="118"/>
      <c r="V175" s="118"/>
      <c r="W175" s="114"/>
      <c r="X175" s="114"/>
      <c r="Y175" s="114"/>
      <c r="Z175" s="114"/>
    </row>
    <row r="176" spans="1:26" ht="12.75">
      <c r="A176" s="153"/>
      <c r="B176" s="150"/>
      <c r="C176" s="150"/>
      <c r="D176" s="150"/>
      <c r="E176" s="139"/>
      <c r="F176" s="118"/>
      <c r="G176" s="119"/>
      <c r="H176" s="118"/>
      <c r="I176" s="106"/>
      <c r="J176" s="117"/>
      <c r="K176" s="118"/>
      <c r="L176" s="118"/>
      <c r="M176" s="118"/>
      <c r="N176" s="118"/>
      <c r="O176" s="118"/>
      <c r="P176" s="117"/>
      <c r="Q176" s="117"/>
      <c r="R176" s="117"/>
      <c r="S176" s="117"/>
      <c r="T176" s="118"/>
      <c r="U176" s="118"/>
      <c r="V176" s="118"/>
      <c r="W176" s="114"/>
      <c r="X176" s="114"/>
      <c r="Y176" s="114"/>
      <c r="Z176" s="114"/>
    </row>
    <row r="177" spans="1:26" ht="12.75">
      <c r="A177" s="153"/>
      <c r="B177" s="150"/>
      <c r="C177" s="150"/>
      <c r="D177" s="150"/>
      <c r="E177" s="139"/>
      <c r="F177" s="118"/>
      <c r="G177" s="119"/>
      <c r="H177" s="118"/>
      <c r="I177" s="106"/>
      <c r="J177" s="117"/>
      <c r="K177" s="118"/>
      <c r="L177" s="118"/>
      <c r="M177" s="118"/>
      <c r="N177" s="118"/>
      <c r="O177" s="118"/>
      <c r="P177" s="117"/>
      <c r="Q177" s="117"/>
      <c r="R177" s="117"/>
      <c r="S177" s="117"/>
      <c r="T177" s="118"/>
      <c r="U177" s="118"/>
      <c r="V177" s="118"/>
      <c r="W177" s="114"/>
      <c r="X177" s="114"/>
      <c r="Y177" s="114"/>
      <c r="Z177" s="114"/>
    </row>
    <row r="178" spans="1:26" ht="12.75">
      <c r="A178" s="153"/>
      <c r="B178" s="150"/>
      <c r="C178" s="150"/>
      <c r="D178" s="150"/>
      <c r="E178" s="139"/>
      <c r="F178" s="118"/>
      <c r="G178" s="119"/>
      <c r="H178" s="118"/>
      <c r="I178" s="106"/>
      <c r="J178" s="117"/>
      <c r="K178" s="118"/>
      <c r="L178" s="118"/>
      <c r="M178" s="118"/>
      <c r="N178" s="118"/>
      <c r="O178" s="118"/>
      <c r="P178" s="117"/>
      <c r="Q178" s="117"/>
      <c r="R178" s="117"/>
      <c r="S178" s="117"/>
      <c r="T178" s="118"/>
      <c r="U178" s="118"/>
      <c r="V178" s="118"/>
      <c r="W178" s="114"/>
      <c r="X178" s="114"/>
      <c r="Y178" s="114"/>
      <c r="Z178" s="114"/>
    </row>
    <row r="179" spans="1:26" ht="12.75">
      <c r="A179" s="153"/>
      <c r="B179" s="150"/>
      <c r="C179" s="150"/>
      <c r="D179" s="150"/>
      <c r="E179" s="139"/>
      <c r="F179" s="118"/>
      <c r="G179" s="119"/>
      <c r="H179" s="118"/>
      <c r="I179" s="106"/>
      <c r="J179" s="117"/>
      <c r="K179" s="118"/>
      <c r="L179" s="118"/>
      <c r="M179" s="118"/>
      <c r="N179" s="118"/>
      <c r="O179" s="118"/>
      <c r="P179" s="117"/>
      <c r="Q179" s="117"/>
      <c r="R179" s="117"/>
      <c r="S179" s="117"/>
      <c r="T179" s="118"/>
      <c r="U179" s="118"/>
      <c r="V179" s="118"/>
      <c r="W179" s="114"/>
      <c r="X179" s="114"/>
      <c r="Y179" s="114"/>
      <c r="Z179" s="114"/>
    </row>
    <row r="180" spans="1:26" ht="12.75">
      <c r="A180" s="153"/>
      <c r="B180" s="150"/>
      <c r="C180" s="150"/>
      <c r="D180" s="150"/>
      <c r="E180" s="139"/>
      <c r="F180" s="118"/>
      <c r="G180" s="119"/>
      <c r="H180" s="118"/>
      <c r="I180" s="106"/>
      <c r="J180" s="117"/>
      <c r="K180" s="118"/>
      <c r="L180" s="118"/>
      <c r="M180" s="118"/>
      <c r="N180" s="118"/>
      <c r="O180" s="118"/>
      <c r="P180" s="117"/>
      <c r="Q180" s="117"/>
      <c r="R180" s="117"/>
      <c r="S180" s="117"/>
      <c r="T180" s="118"/>
      <c r="U180" s="118"/>
      <c r="V180" s="118"/>
      <c r="W180" s="114"/>
      <c r="X180" s="114"/>
      <c r="Y180" s="114"/>
      <c r="Z180" s="114"/>
    </row>
    <row r="181" spans="1:26" ht="12.75">
      <c r="A181" s="153"/>
      <c r="B181" s="150"/>
      <c r="C181" s="150"/>
      <c r="D181" s="150"/>
      <c r="E181" s="139"/>
      <c r="F181" s="118"/>
      <c r="G181" s="119"/>
      <c r="H181" s="118"/>
      <c r="I181" s="106"/>
      <c r="J181" s="117"/>
      <c r="K181" s="118"/>
      <c r="L181" s="118"/>
      <c r="M181" s="118"/>
      <c r="N181" s="118"/>
      <c r="O181" s="118"/>
      <c r="P181" s="117"/>
      <c r="Q181" s="117"/>
      <c r="R181" s="117"/>
      <c r="S181" s="117"/>
      <c r="T181" s="118"/>
      <c r="U181" s="118"/>
      <c r="V181" s="118"/>
      <c r="W181" s="114"/>
      <c r="X181" s="114"/>
      <c r="Y181" s="114"/>
      <c r="Z181" s="114"/>
    </row>
    <row r="182" spans="1:26" ht="12.75">
      <c r="A182" s="153"/>
      <c r="B182" s="150"/>
      <c r="C182" s="150"/>
      <c r="D182" s="150"/>
      <c r="E182" s="139"/>
      <c r="F182" s="118"/>
      <c r="G182" s="119"/>
      <c r="H182" s="118"/>
      <c r="I182" s="106"/>
      <c r="J182" s="117"/>
      <c r="K182" s="118"/>
      <c r="L182" s="118"/>
      <c r="M182" s="118"/>
      <c r="N182" s="118"/>
      <c r="O182" s="118"/>
      <c r="P182" s="117"/>
      <c r="Q182" s="117"/>
      <c r="R182" s="117"/>
      <c r="S182" s="117"/>
      <c r="T182" s="118"/>
      <c r="U182" s="118"/>
      <c r="V182" s="118"/>
      <c r="W182" s="114"/>
      <c r="X182" s="114"/>
      <c r="Y182" s="114"/>
      <c r="Z182" s="114"/>
    </row>
    <row r="183" spans="1:26" ht="12.75">
      <c r="A183" s="153"/>
      <c r="B183" s="150"/>
      <c r="C183" s="150"/>
      <c r="D183" s="150"/>
      <c r="E183" s="139"/>
      <c r="F183" s="118"/>
      <c r="G183" s="119"/>
      <c r="H183" s="118"/>
      <c r="I183" s="106"/>
      <c r="J183" s="117"/>
      <c r="K183" s="118"/>
      <c r="L183" s="118"/>
      <c r="M183" s="118"/>
      <c r="N183" s="118"/>
      <c r="O183" s="118"/>
      <c r="P183" s="117"/>
      <c r="Q183" s="117"/>
      <c r="R183" s="117"/>
      <c r="S183" s="117"/>
      <c r="T183" s="118"/>
      <c r="U183" s="118"/>
      <c r="V183" s="118"/>
      <c r="W183" s="114"/>
      <c r="X183" s="114"/>
      <c r="Y183" s="114"/>
      <c r="Z183" s="114"/>
    </row>
    <row r="184" spans="1:26" ht="12.75">
      <c r="A184" s="153"/>
      <c r="B184" s="150"/>
      <c r="C184" s="150"/>
      <c r="D184" s="150"/>
      <c r="E184" s="139"/>
      <c r="F184" s="118"/>
      <c r="G184" s="119"/>
      <c r="H184" s="118"/>
      <c r="I184" s="106"/>
      <c r="J184" s="117"/>
      <c r="K184" s="118"/>
      <c r="L184" s="118"/>
      <c r="M184" s="118"/>
      <c r="N184" s="118"/>
      <c r="O184" s="118"/>
      <c r="P184" s="117"/>
      <c r="Q184" s="117"/>
      <c r="R184" s="117"/>
      <c r="S184" s="117"/>
      <c r="T184" s="118"/>
      <c r="U184" s="118"/>
      <c r="V184" s="118"/>
      <c r="W184" s="114"/>
      <c r="X184" s="114"/>
      <c r="Y184" s="114"/>
      <c r="Z184" s="114"/>
    </row>
    <row r="185" spans="1:26" ht="12.75">
      <c r="A185" s="153"/>
      <c r="B185" s="150"/>
      <c r="C185" s="150"/>
      <c r="D185" s="150"/>
      <c r="E185" s="139"/>
      <c r="F185" s="118"/>
      <c r="G185" s="119"/>
      <c r="H185" s="118"/>
      <c r="I185" s="106"/>
      <c r="J185" s="117"/>
      <c r="K185" s="118"/>
      <c r="L185" s="118"/>
      <c r="M185" s="118"/>
      <c r="N185" s="118"/>
      <c r="O185" s="118"/>
      <c r="P185" s="117"/>
      <c r="Q185" s="117"/>
      <c r="R185" s="117"/>
      <c r="S185" s="117"/>
      <c r="T185" s="118"/>
      <c r="U185" s="118"/>
      <c r="V185" s="118"/>
      <c r="W185" s="114"/>
      <c r="X185" s="114"/>
      <c r="Y185" s="114"/>
      <c r="Z185" s="114"/>
    </row>
    <row r="186" spans="1:26" ht="12.75">
      <c r="A186" s="153"/>
      <c r="B186" s="150"/>
      <c r="C186" s="150"/>
      <c r="D186" s="150"/>
      <c r="E186" s="139"/>
      <c r="F186" s="118"/>
      <c r="G186" s="119"/>
      <c r="H186" s="118"/>
      <c r="I186" s="106"/>
      <c r="J186" s="117"/>
      <c r="K186" s="118"/>
      <c r="L186" s="118"/>
      <c r="M186" s="118"/>
      <c r="N186" s="118"/>
      <c r="O186" s="118"/>
      <c r="P186" s="117"/>
      <c r="Q186" s="117"/>
      <c r="R186" s="117"/>
      <c r="S186" s="117"/>
      <c r="T186" s="118"/>
      <c r="U186" s="118"/>
      <c r="V186" s="118"/>
      <c r="W186" s="114"/>
      <c r="X186" s="114"/>
      <c r="Y186" s="114"/>
      <c r="Z186" s="114"/>
    </row>
    <row r="187" spans="1:26" ht="12.75">
      <c r="A187" s="153"/>
      <c r="B187" s="150"/>
      <c r="C187" s="150"/>
      <c r="D187" s="150"/>
      <c r="E187" s="139"/>
      <c r="F187" s="118"/>
      <c r="G187" s="119"/>
      <c r="H187" s="118"/>
      <c r="I187" s="106"/>
      <c r="J187" s="117"/>
      <c r="K187" s="118"/>
      <c r="L187" s="118"/>
      <c r="M187" s="118"/>
      <c r="N187" s="118"/>
      <c r="O187" s="118"/>
      <c r="P187" s="117"/>
      <c r="Q187" s="117"/>
      <c r="R187" s="117"/>
      <c r="S187" s="117"/>
      <c r="T187" s="118"/>
      <c r="U187" s="118"/>
      <c r="V187" s="118"/>
      <c r="W187" s="114"/>
      <c r="X187" s="114"/>
      <c r="Y187" s="114"/>
      <c r="Z187" s="114"/>
    </row>
    <row r="188" spans="1:26" ht="12.75">
      <c r="A188" s="153"/>
      <c r="B188" s="150"/>
      <c r="C188" s="150"/>
      <c r="D188" s="150"/>
      <c r="E188" s="139"/>
      <c r="F188" s="118"/>
      <c r="G188" s="119"/>
      <c r="H188" s="118"/>
      <c r="I188" s="106"/>
      <c r="J188" s="117"/>
      <c r="K188" s="118"/>
      <c r="L188" s="118"/>
      <c r="M188" s="118"/>
      <c r="N188" s="118"/>
      <c r="O188" s="118"/>
      <c r="P188" s="117"/>
      <c r="Q188" s="117"/>
      <c r="R188" s="117"/>
      <c r="S188" s="117"/>
      <c r="T188" s="118"/>
      <c r="U188" s="118"/>
      <c r="V188" s="118"/>
      <c r="W188" s="114"/>
      <c r="X188" s="114"/>
      <c r="Y188" s="114"/>
      <c r="Z188" s="114"/>
    </row>
    <row r="189" spans="1:26" ht="12.75">
      <c r="A189" s="135"/>
      <c r="B189" s="111"/>
      <c r="C189" s="111"/>
      <c r="D189" s="111"/>
      <c r="E189" s="137"/>
      <c r="F189" s="119"/>
      <c r="G189" s="119"/>
      <c r="H189" s="118"/>
      <c r="I189" s="106"/>
      <c r="J189" s="117"/>
      <c r="K189" s="118"/>
      <c r="L189" s="118"/>
      <c r="M189" s="118"/>
      <c r="N189" s="118"/>
      <c r="O189" s="118"/>
      <c r="P189" s="117"/>
      <c r="Q189" s="117"/>
      <c r="R189" s="117"/>
      <c r="S189" s="117"/>
      <c r="T189" s="118"/>
      <c r="U189" s="118"/>
      <c r="V189" s="118"/>
      <c r="W189" s="114"/>
      <c r="X189" s="114"/>
      <c r="Y189" s="114"/>
      <c r="Z189" s="114"/>
    </row>
    <row r="190" spans="1:26" ht="12.75">
      <c r="A190" s="135"/>
      <c r="B190" s="136"/>
      <c r="C190" s="136"/>
      <c r="D190" s="136"/>
      <c r="E190" s="137"/>
      <c r="F190" s="119"/>
      <c r="G190" s="119"/>
      <c r="H190" s="118"/>
      <c r="I190" s="106"/>
      <c r="J190" s="117"/>
      <c r="K190" s="118"/>
      <c r="L190" s="118"/>
      <c r="M190" s="118"/>
      <c r="N190" s="118"/>
      <c r="O190" s="118"/>
      <c r="P190" s="117"/>
      <c r="Q190" s="117"/>
      <c r="R190" s="117"/>
      <c r="S190" s="117"/>
      <c r="T190" s="118"/>
      <c r="U190" s="118"/>
      <c r="V190" s="118"/>
      <c r="W190" s="114"/>
      <c r="X190" s="114"/>
      <c r="Y190" s="114"/>
      <c r="Z190" s="114"/>
    </row>
    <row r="191" spans="1:26" ht="12.75">
      <c r="A191" s="135"/>
      <c r="B191" s="136"/>
      <c r="C191" s="136"/>
      <c r="D191" s="136"/>
      <c r="E191" s="137"/>
      <c r="F191" s="119"/>
      <c r="G191" s="119"/>
      <c r="H191" s="118"/>
      <c r="I191" s="106"/>
      <c r="J191" s="117"/>
      <c r="K191" s="118"/>
      <c r="L191" s="118"/>
      <c r="M191" s="118"/>
      <c r="N191" s="118"/>
      <c r="O191" s="113"/>
      <c r="P191" s="117"/>
      <c r="Q191" s="117"/>
      <c r="R191" s="117"/>
      <c r="S191" s="117"/>
      <c r="T191" s="118"/>
      <c r="U191" s="118"/>
      <c r="V191" s="118"/>
      <c r="W191" s="114"/>
      <c r="X191" s="114"/>
      <c r="Y191" s="114"/>
      <c r="Z191" s="114"/>
    </row>
    <row r="192" spans="1:26" ht="12.75">
      <c r="A192" s="131"/>
      <c r="B192" s="136"/>
      <c r="C192" s="136"/>
      <c r="D192" s="136"/>
      <c r="E192" s="137"/>
      <c r="F192" s="119"/>
      <c r="G192" s="119"/>
      <c r="H192" s="118"/>
      <c r="I192" s="106"/>
      <c r="J192" s="117"/>
      <c r="K192" s="118"/>
      <c r="L192" s="118"/>
      <c r="M192" s="118"/>
      <c r="N192" s="118"/>
      <c r="O192" s="118"/>
      <c r="P192" s="117"/>
      <c r="Q192" s="117"/>
      <c r="R192" s="117"/>
      <c r="S192" s="117"/>
      <c r="T192" s="118"/>
      <c r="U192" s="118"/>
      <c r="V192" s="118"/>
      <c r="W192" s="114"/>
      <c r="X192" s="114"/>
      <c r="Y192" s="114"/>
      <c r="Z192" s="114"/>
    </row>
    <row r="193" spans="1:26" ht="12.75">
      <c r="A193" s="153"/>
      <c r="B193" s="150"/>
      <c r="C193" s="150"/>
      <c r="D193" s="150"/>
      <c r="E193" s="139"/>
      <c r="F193" s="118"/>
      <c r="G193" s="119"/>
      <c r="H193" s="118"/>
      <c r="I193" s="106"/>
      <c r="J193" s="117"/>
      <c r="K193" s="118"/>
      <c r="L193" s="118"/>
      <c r="M193" s="118"/>
      <c r="N193" s="113"/>
      <c r="O193" s="113"/>
      <c r="P193" s="117"/>
      <c r="Q193" s="117"/>
      <c r="R193" s="117"/>
      <c r="S193" s="117"/>
      <c r="T193" s="118"/>
      <c r="U193" s="118"/>
      <c r="V193" s="118"/>
      <c r="W193" s="114"/>
      <c r="X193" s="114"/>
      <c r="Y193" s="114"/>
      <c r="Z193" s="114"/>
    </row>
    <row r="194" spans="1:26" ht="12.75">
      <c r="A194" s="153"/>
      <c r="B194" s="150"/>
      <c r="C194" s="150"/>
      <c r="D194" s="150"/>
      <c r="E194" s="139"/>
      <c r="F194" s="118"/>
      <c r="G194" s="119"/>
      <c r="H194" s="118"/>
      <c r="I194" s="106"/>
      <c r="J194" s="117"/>
      <c r="K194" s="118"/>
      <c r="L194" s="118"/>
      <c r="M194" s="118"/>
      <c r="N194" s="118"/>
      <c r="O194" s="118"/>
      <c r="P194" s="117"/>
      <c r="Q194" s="117"/>
      <c r="R194" s="117"/>
      <c r="S194" s="117"/>
      <c r="T194" s="118"/>
      <c r="U194" s="118"/>
      <c r="V194" s="118"/>
      <c r="W194" s="114"/>
      <c r="X194" s="114"/>
      <c r="Y194" s="114"/>
      <c r="Z194" s="114"/>
    </row>
    <row r="195" spans="1:26" ht="12.75">
      <c r="A195" s="153"/>
      <c r="B195" s="150"/>
      <c r="C195" s="150"/>
      <c r="D195" s="150"/>
      <c r="E195" s="139"/>
      <c r="F195" s="118"/>
      <c r="G195" s="119"/>
      <c r="H195" s="118"/>
      <c r="I195" s="106"/>
      <c r="J195" s="117"/>
      <c r="K195" s="118"/>
      <c r="L195" s="118"/>
      <c r="M195" s="118"/>
      <c r="N195" s="118"/>
      <c r="O195" s="118"/>
      <c r="P195" s="117"/>
      <c r="Q195" s="117"/>
      <c r="R195" s="117"/>
      <c r="S195" s="117"/>
      <c r="T195" s="118"/>
      <c r="U195" s="118"/>
      <c r="V195" s="118"/>
      <c r="W195" s="114"/>
      <c r="X195" s="114"/>
      <c r="Y195" s="114"/>
      <c r="Z195" s="114"/>
    </row>
    <row r="196" spans="1:26" ht="12.75">
      <c r="A196" s="153"/>
      <c r="B196" s="150"/>
      <c r="C196" s="150"/>
      <c r="D196" s="150"/>
      <c r="E196" s="139"/>
      <c r="F196" s="118"/>
      <c r="G196" s="119"/>
      <c r="H196" s="118"/>
      <c r="I196" s="106"/>
      <c r="J196" s="117"/>
      <c r="K196" s="118"/>
      <c r="L196" s="118"/>
      <c r="M196" s="118"/>
      <c r="N196" s="118"/>
      <c r="O196" s="118"/>
      <c r="P196" s="117"/>
      <c r="Q196" s="117"/>
      <c r="R196" s="117"/>
      <c r="S196" s="117"/>
      <c r="T196" s="118"/>
      <c r="U196" s="118"/>
      <c r="V196" s="118"/>
      <c r="W196" s="114"/>
      <c r="X196" s="114"/>
      <c r="Y196" s="114"/>
      <c r="Z196" s="114"/>
    </row>
    <row r="197" spans="1:26" ht="12.75">
      <c r="A197" s="153"/>
      <c r="B197" s="150"/>
      <c r="C197" s="150"/>
      <c r="D197" s="150"/>
      <c r="E197" s="139"/>
      <c r="F197" s="118"/>
      <c r="G197" s="119"/>
      <c r="H197" s="118"/>
      <c r="I197" s="106"/>
      <c r="J197" s="117"/>
      <c r="K197" s="118"/>
      <c r="L197" s="118"/>
      <c r="M197" s="118"/>
      <c r="N197" s="118"/>
      <c r="O197" s="118"/>
      <c r="P197" s="117"/>
      <c r="Q197" s="117"/>
      <c r="R197" s="117"/>
      <c r="S197" s="117"/>
      <c r="T197" s="118"/>
      <c r="U197" s="118"/>
      <c r="V197" s="118"/>
      <c r="W197" s="114"/>
      <c r="X197" s="114"/>
      <c r="Y197" s="114"/>
      <c r="Z197" s="114"/>
    </row>
    <row r="198" spans="1:26" ht="12.75">
      <c r="A198" s="153"/>
      <c r="B198" s="150"/>
      <c r="C198" s="150"/>
      <c r="D198" s="150"/>
      <c r="E198" s="139"/>
      <c r="F198" s="118"/>
      <c r="G198" s="119"/>
      <c r="H198" s="118"/>
      <c r="I198" s="106"/>
      <c r="J198" s="117"/>
      <c r="K198" s="118"/>
      <c r="L198" s="118"/>
      <c r="M198" s="118"/>
      <c r="N198" s="118"/>
      <c r="O198" s="118"/>
      <c r="P198" s="117"/>
      <c r="Q198" s="117"/>
      <c r="R198" s="117"/>
      <c r="S198" s="117"/>
      <c r="T198" s="118"/>
      <c r="U198" s="118"/>
      <c r="V198" s="118"/>
      <c r="W198" s="114"/>
      <c r="X198" s="114"/>
      <c r="Y198" s="114"/>
      <c r="Z198" s="114"/>
    </row>
    <row r="199" spans="1:26" ht="12.75">
      <c r="A199" s="153"/>
      <c r="B199" s="150"/>
      <c r="C199" s="150"/>
      <c r="D199" s="150"/>
      <c r="E199" s="139"/>
      <c r="F199" s="118"/>
      <c r="G199" s="119"/>
      <c r="H199" s="118"/>
      <c r="I199" s="106"/>
      <c r="J199" s="117"/>
      <c r="K199" s="118"/>
      <c r="L199" s="118"/>
      <c r="M199" s="118"/>
      <c r="N199" s="118"/>
      <c r="O199" s="118"/>
      <c r="P199" s="117"/>
      <c r="Q199" s="117"/>
      <c r="R199" s="117"/>
      <c r="S199" s="117"/>
      <c r="T199" s="118"/>
      <c r="U199" s="118"/>
      <c r="V199" s="118"/>
      <c r="W199" s="114"/>
      <c r="X199" s="114"/>
      <c r="Y199" s="114"/>
      <c r="Z199" s="114"/>
    </row>
    <row r="200" spans="1:26" ht="12.75">
      <c r="A200" s="153"/>
      <c r="B200" s="150"/>
      <c r="C200" s="150"/>
      <c r="D200" s="150"/>
      <c r="E200" s="139"/>
      <c r="F200" s="118"/>
      <c r="G200" s="119"/>
      <c r="H200" s="118"/>
      <c r="I200" s="106"/>
      <c r="J200" s="117"/>
      <c r="K200" s="118"/>
      <c r="L200" s="118"/>
      <c r="M200" s="118"/>
      <c r="N200" s="118"/>
      <c r="O200" s="118"/>
      <c r="P200" s="117"/>
      <c r="Q200" s="117"/>
      <c r="R200" s="117"/>
      <c r="S200" s="117"/>
      <c r="T200" s="118"/>
      <c r="U200" s="118"/>
      <c r="V200" s="118"/>
      <c r="W200" s="114"/>
      <c r="X200" s="114"/>
      <c r="Y200" s="114"/>
      <c r="Z200" s="114"/>
    </row>
    <row r="201" spans="1:26" ht="12.75">
      <c r="A201" s="153"/>
      <c r="B201" s="150"/>
      <c r="C201" s="150"/>
      <c r="D201" s="150"/>
      <c r="E201" s="139"/>
      <c r="F201" s="118"/>
      <c r="G201" s="119"/>
      <c r="H201" s="118"/>
      <c r="I201" s="106"/>
      <c r="J201" s="117"/>
      <c r="K201" s="118"/>
      <c r="L201" s="118"/>
      <c r="M201" s="118"/>
      <c r="N201" s="118"/>
      <c r="O201" s="118"/>
      <c r="P201" s="117"/>
      <c r="Q201" s="117"/>
      <c r="R201" s="117"/>
      <c r="S201" s="117"/>
      <c r="T201" s="118"/>
      <c r="U201" s="118"/>
      <c r="V201" s="118"/>
      <c r="W201" s="114"/>
      <c r="X201" s="114"/>
      <c r="Y201" s="114"/>
      <c r="Z201" s="114"/>
    </row>
    <row r="202" spans="1:26" ht="12.75">
      <c r="A202" s="153"/>
      <c r="B202" s="150"/>
      <c r="C202" s="150"/>
      <c r="D202" s="150"/>
      <c r="E202" s="139"/>
      <c r="F202" s="118"/>
      <c r="G202" s="119"/>
      <c r="H202" s="118"/>
      <c r="I202" s="106"/>
      <c r="J202" s="117"/>
      <c r="K202" s="118"/>
      <c r="L202" s="118"/>
      <c r="M202" s="118"/>
      <c r="N202" s="118"/>
      <c r="O202" s="118"/>
      <c r="P202" s="117"/>
      <c r="Q202" s="117"/>
      <c r="R202" s="117"/>
      <c r="S202" s="117"/>
      <c r="T202" s="118"/>
      <c r="U202" s="118"/>
      <c r="V202" s="118"/>
      <c r="W202" s="114"/>
      <c r="X202" s="114"/>
      <c r="Y202" s="114"/>
      <c r="Z202" s="114"/>
    </row>
    <row r="203" spans="1:26" ht="12.75">
      <c r="A203" s="153"/>
      <c r="B203" s="150"/>
      <c r="C203" s="150"/>
      <c r="D203" s="150"/>
      <c r="E203" s="139"/>
      <c r="F203" s="118"/>
      <c r="G203" s="119"/>
      <c r="H203" s="118"/>
      <c r="I203" s="106"/>
      <c r="J203" s="117"/>
      <c r="K203" s="118"/>
      <c r="L203" s="118"/>
      <c r="M203" s="118"/>
      <c r="N203" s="118"/>
      <c r="O203" s="118"/>
      <c r="P203" s="117"/>
      <c r="Q203" s="117"/>
      <c r="R203" s="117"/>
      <c r="S203" s="117"/>
      <c r="T203" s="118"/>
      <c r="U203" s="118"/>
      <c r="V203" s="118"/>
      <c r="W203" s="114"/>
      <c r="X203" s="114"/>
      <c r="Y203" s="114"/>
      <c r="Z203" s="114"/>
    </row>
    <row r="204" spans="1:26" ht="12.75">
      <c r="A204" s="153"/>
      <c r="B204" s="150"/>
      <c r="C204" s="150"/>
      <c r="D204" s="150"/>
      <c r="E204" s="139"/>
      <c r="F204" s="118"/>
      <c r="G204" s="119"/>
      <c r="H204" s="118"/>
      <c r="I204" s="106"/>
      <c r="J204" s="117"/>
      <c r="K204" s="118"/>
      <c r="L204" s="118"/>
      <c r="M204" s="118"/>
      <c r="N204" s="118"/>
      <c r="O204" s="118"/>
      <c r="P204" s="117"/>
      <c r="Q204" s="117"/>
      <c r="R204" s="117"/>
      <c r="S204" s="117"/>
      <c r="T204" s="118"/>
      <c r="U204" s="118"/>
      <c r="V204" s="118"/>
      <c r="W204" s="114"/>
      <c r="X204" s="114"/>
      <c r="Y204" s="114"/>
      <c r="Z204" s="114"/>
    </row>
    <row r="205" spans="1:26" ht="12.75">
      <c r="A205" s="153"/>
      <c r="B205" s="150"/>
      <c r="C205" s="150"/>
      <c r="D205" s="150"/>
      <c r="E205" s="139"/>
      <c r="F205" s="118"/>
      <c r="G205" s="119"/>
      <c r="H205" s="118"/>
      <c r="I205" s="106"/>
      <c r="J205" s="117"/>
      <c r="K205" s="118"/>
      <c r="L205" s="118"/>
      <c r="M205" s="118"/>
      <c r="N205" s="118"/>
      <c r="O205" s="118"/>
      <c r="P205" s="117"/>
      <c r="Q205" s="117"/>
      <c r="R205" s="117"/>
      <c r="S205" s="117"/>
      <c r="T205" s="118"/>
      <c r="U205" s="118"/>
      <c r="V205" s="118"/>
      <c r="W205" s="114"/>
      <c r="X205" s="114"/>
      <c r="Y205" s="114"/>
      <c r="Z205" s="114"/>
    </row>
    <row r="206" spans="1:26" ht="12.75">
      <c r="A206" s="153"/>
      <c r="B206" s="150"/>
      <c r="C206" s="150"/>
      <c r="D206" s="150"/>
      <c r="E206" s="139"/>
      <c r="F206" s="118"/>
      <c r="G206" s="119"/>
      <c r="H206" s="118"/>
      <c r="I206" s="106"/>
      <c r="J206" s="117"/>
      <c r="K206" s="118"/>
      <c r="L206" s="118"/>
      <c r="M206" s="118"/>
      <c r="N206" s="118"/>
      <c r="O206" s="118"/>
      <c r="P206" s="117"/>
      <c r="Q206" s="117"/>
      <c r="R206" s="117"/>
      <c r="S206" s="117"/>
      <c r="T206" s="118"/>
      <c r="U206" s="118"/>
      <c r="V206" s="118"/>
      <c r="W206" s="114"/>
      <c r="X206" s="114"/>
      <c r="Y206" s="114"/>
      <c r="Z206" s="114"/>
    </row>
    <row r="207" spans="1:26" ht="12.75">
      <c r="A207" s="153"/>
      <c r="B207" s="150"/>
      <c r="C207" s="150"/>
      <c r="D207" s="150"/>
      <c r="E207" s="139"/>
      <c r="F207" s="118"/>
      <c r="G207" s="119"/>
      <c r="H207" s="118"/>
      <c r="I207" s="106"/>
      <c r="J207" s="117"/>
      <c r="K207" s="118"/>
      <c r="L207" s="118"/>
      <c r="M207" s="118"/>
      <c r="N207" s="118"/>
      <c r="O207" s="118"/>
      <c r="P207" s="117"/>
      <c r="Q207" s="117"/>
      <c r="R207" s="117"/>
      <c r="S207" s="117"/>
      <c r="T207" s="118"/>
      <c r="U207" s="118"/>
      <c r="V207" s="118"/>
      <c r="W207" s="114"/>
      <c r="X207" s="114"/>
      <c r="Y207" s="114"/>
      <c r="Z207" s="114"/>
    </row>
    <row r="208" spans="1:26" ht="12.75">
      <c r="A208" s="153"/>
      <c r="B208" s="150"/>
      <c r="C208" s="150"/>
      <c r="D208" s="150"/>
      <c r="E208" s="139"/>
      <c r="F208" s="118"/>
      <c r="G208" s="119"/>
      <c r="H208" s="118"/>
      <c r="I208" s="106"/>
      <c r="J208" s="117"/>
      <c r="K208" s="118"/>
      <c r="L208" s="118"/>
      <c r="M208" s="118"/>
      <c r="N208" s="118"/>
      <c r="O208" s="118"/>
      <c r="P208" s="117"/>
      <c r="Q208" s="117"/>
      <c r="R208" s="117"/>
      <c r="S208" s="117"/>
      <c r="T208" s="118"/>
      <c r="U208" s="118"/>
      <c r="V208" s="118"/>
      <c r="W208" s="114"/>
      <c r="X208" s="114"/>
      <c r="Y208" s="114"/>
      <c r="Z208" s="114"/>
    </row>
    <row r="209" spans="1:26" ht="12.75">
      <c r="A209" s="153"/>
      <c r="B209" s="150"/>
      <c r="C209" s="150"/>
      <c r="D209" s="150"/>
      <c r="E209" s="139"/>
      <c r="F209" s="118"/>
      <c r="G209" s="119"/>
      <c r="H209" s="118"/>
      <c r="I209" s="106"/>
      <c r="J209" s="117"/>
      <c r="K209" s="118"/>
      <c r="L209" s="118"/>
      <c r="M209" s="118"/>
      <c r="N209" s="118"/>
      <c r="O209" s="118"/>
      <c r="P209" s="117"/>
      <c r="Q209" s="117"/>
      <c r="R209" s="117"/>
      <c r="S209" s="117"/>
      <c r="T209" s="118"/>
      <c r="U209" s="118"/>
      <c r="V209" s="118"/>
      <c r="W209" s="114"/>
      <c r="X209" s="114"/>
      <c r="Y209" s="114"/>
      <c r="Z209" s="114"/>
    </row>
    <row r="210" spans="1:26" ht="12.75">
      <c r="A210" s="153"/>
      <c r="B210" s="150"/>
      <c r="C210" s="150"/>
      <c r="D210" s="150"/>
      <c r="E210" s="139"/>
      <c r="F210" s="118"/>
      <c r="G210" s="119"/>
      <c r="H210" s="118"/>
      <c r="I210" s="106"/>
      <c r="J210" s="117"/>
      <c r="K210" s="118"/>
      <c r="L210" s="118"/>
      <c r="M210" s="118"/>
      <c r="N210" s="118"/>
      <c r="O210" s="118"/>
      <c r="P210" s="117"/>
      <c r="Q210" s="117"/>
      <c r="R210" s="117"/>
      <c r="S210" s="117"/>
      <c r="T210" s="118"/>
      <c r="U210" s="118"/>
      <c r="V210" s="118"/>
      <c r="W210" s="114"/>
      <c r="X210" s="114"/>
      <c r="Y210" s="114"/>
      <c r="Z210" s="114"/>
    </row>
    <row r="211" spans="1:26" ht="12.75">
      <c r="A211" s="153"/>
      <c r="B211" s="150"/>
      <c r="C211" s="150"/>
      <c r="D211" s="150"/>
      <c r="E211" s="139"/>
      <c r="F211" s="118"/>
      <c r="G211" s="119"/>
      <c r="H211" s="118"/>
      <c r="I211" s="106"/>
      <c r="J211" s="117"/>
      <c r="K211" s="118"/>
      <c r="L211" s="118"/>
      <c r="M211" s="118"/>
      <c r="N211" s="118"/>
      <c r="O211" s="118"/>
      <c r="P211" s="117"/>
      <c r="Q211" s="117"/>
      <c r="R211" s="117"/>
      <c r="S211" s="117"/>
      <c r="T211" s="118"/>
      <c r="U211" s="118"/>
      <c r="V211" s="118"/>
      <c r="W211" s="114"/>
      <c r="X211" s="114"/>
      <c r="Y211" s="114"/>
      <c r="Z211" s="114"/>
    </row>
    <row r="212" spans="1:26" ht="12.75">
      <c r="A212" s="153"/>
      <c r="B212" s="150"/>
      <c r="C212" s="150"/>
      <c r="D212" s="150"/>
      <c r="E212" s="139"/>
      <c r="F212" s="118"/>
      <c r="G212" s="119"/>
      <c r="H212" s="118"/>
      <c r="I212" s="106"/>
      <c r="J212" s="117"/>
      <c r="K212" s="118"/>
      <c r="L212" s="118"/>
      <c r="M212" s="118"/>
      <c r="N212" s="118"/>
      <c r="O212" s="118"/>
      <c r="P212" s="117"/>
      <c r="Q212" s="117"/>
      <c r="R212" s="117"/>
      <c r="S212" s="117"/>
      <c r="T212" s="118"/>
      <c r="U212" s="118"/>
      <c r="V212" s="118"/>
      <c r="W212" s="114"/>
      <c r="X212" s="114"/>
      <c r="Y212" s="114"/>
      <c r="Z212" s="114"/>
    </row>
    <row r="213" spans="1:26" ht="12.75">
      <c r="A213" s="153"/>
      <c r="B213" s="150"/>
      <c r="C213" s="150"/>
      <c r="D213" s="150"/>
      <c r="E213" s="139"/>
      <c r="F213" s="118"/>
      <c r="G213" s="119"/>
      <c r="H213" s="118"/>
      <c r="I213" s="106"/>
      <c r="J213" s="117"/>
      <c r="K213" s="118"/>
      <c r="L213" s="118"/>
      <c r="M213" s="118"/>
      <c r="N213" s="118"/>
      <c r="O213" s="118"/>
      <c r="P213" s="117"/>
      <c r="Q213" s="117"/>
      <c r="R213" s="117"/>
      <c r="S213" s="117"/>
      <c r="T213" s="118"/>
      <c r="U213" s="118"/>
      <c r="V213" s="118"/>
      <c r="W213" s="114"/>
      <c r="X213" s="114"/>
      <c r="Y213" s="114"/>
      <c r="Z213" s="114"/>
    </row>
    <row r="214" spans="1:26" ht="12.75">
      <c r="A214" s="135"/>
      <c r="B214" s="111"/>
      <c r="C214" s="111"/>
      <c r="D214" s="111"/>
      <c r="E214" s="137"/>
      <c r="F214" s="119"/>
      <c r="G214" s="119"/>
      <c r="H214" s="118"/>
      <c r="I214" s="106"/>
      <c r="J214" s="117"/>
      <c r="K214" s="118"/>
      <c r="L214" s="118"/>
      <c r="M214" s="118"/>
      <c r="N214" s="118"/>
      <c r="O214" s="118"/>
      <c r="P214" s="117"/>
      <c r="Q214" s="117"/>
      <c r="R214" s="117"/>
      <c r="S214" s="117"/>
      <c r="T214" s="118"/>
      <c r="U214" s="118"/>
      <c r="V214" s="118"/>
      <c r="W214" s="114"/>
      <c r="X214" s="114"/>
      <c r="Y214" s="114"/>
      <c r="Z214" s="114"/>
    </row>
    <row r="215" spans="1:26" ht="12.75">
      <c r="A215" s="135"/>
      <c r="B215" s="136"/>
      <c r="C215" s="136"/>
      <c r="D215" s="136"/>
      <c r="E215" s="137"/>
      <c r="F215" s="119"/>
      <c r="G215" s="119"/>
      <c r="H215" s="118"/>
      <c r="I215" s="106"/>
      <c r="J215" s="117"/>
      <c r="K215" s="118"/>
      <c r="L215" s="118"/>
      <c r="M215" s="118"/>
      <c r="N215" s="118"/>
      <c r="O215" s="118"/>
      <c r="P215" s="117"/>
      <c r="Q215" s="117"/>
      <c r="R215" s="117"/>
      <c r="S215" s="117"/>
      <c r="T215" s="118"/>
      <c r="U215" s="118"/>
      <c r="V215" s="118"/>
      <c r="W215" s="114"/>
      <c r="X215" s="114"/>
      <c r="Y215" s="114"/>
      <c r="Z215" s="114"/>
    </row>
    <row r="216" spans="1:26" ht="12.75">
      <c r="A216" s="135"/>
      <c r="B216" s="136"/>
      <c r="C216" s="136"/>
      <c r="D216" s="136"/>
      <c r="E216" s="137"/>
      <c r="F216" s="119"/>
      <c r="G216" s="119"/>
      <c r="H216" s="118"/>
      <c r="I216" s="106"/>
      <c r="J216" s="117"/>
      <c r="K216" s="118"/>
      <c r="L216" s="118"/>
      <c r="M216" s="118"/>
      <c r="N216" s="118"/>
      <c r="O216" s="113"/>
      <c r="P216" s="117"/>
      <c r="Q216" s="117"/>
      <c r="R216" s="117"/>
      <c r="S216" s="117"/>
      <c r="T216" s="118"/>
      <c r="U216" s="118"/>
      <c r="V216" s="118"/>
      <c r="W216" s="114"/>
      <c r="X216" s="114"/>
      <c r="Y216" s="114"/>
      <c r="Z216" s="114"/>
    </row>
    <row r="217" spans="1:26" ht="12.75">
      <c r="A217" s="131"/>
      <c r="B217" s="111"/>
      <c r="C217" s="111"/>
      <c r="D217" s="111"/>
      <c r="E217" s="137"/>
      <c r="F217" s="119"/>
      <c r="G217" s="119"/>
      <c r="H217" s="118"/>
      <c r="I217" s="106"/>
      <c r="J217" s="121"/>
      <c r="K217" s="118"/>
      <c r="L217" s="118"/>
      <c r="M217" s="118"/>
      <c r="N217" s="118"/>
      <c r="O217" s="118"/>
      <c r="P217" s="117"/>
      <c r="Q217" s="117"/>
      <c r="R217" s="117"/>
      <c r="S217" s="117"/>
      <c r="T217" s="118"/>
      <c r="U217" s="118"/>
      <c r="V217" s="118"/>
      <c r="W217" s="114"/>
      <c r="X217" s="114"/>
      <c r="Y217" s="114"/>
      <c r="Z217" s="114"/>
    </row>
    <row r="218" spans="1:26" ht="12.75">
      <c r="A218" s="153"/>
      <c r="B218" s="150"/>
      <c r="C218" s="150"/>
      <c r="D218" s="150"/>
      <c r="E218" s="139"/>
      <c r="F218" s="118"/>
      <c r="G218" s="119"/>
      <c r="H218" s="118"/>
      <c r="I218" s="106"/>
      <c r="J218" s="117"/>
      <c r="K218" s="118"/>
      <c r="L218" s="118"/>
      <c r="M218" s="118"/>
      <c r="N218" s="113"/>
      <c r="O218" s="113"/>
      <c r="P218" s="117"/>
      <c r="Q218" s="117"/>
      <c r="R218" s="117"/>
      <c r="S218" s="117"/>
      <c r="T218" s="118"/>
      <c r="U218" s="118"/>
      <c r="V218" s="118"/>
      <c r="W218" s="114"/>
      <c r="X218" s="114"/>
      <c r="Y218" s="114"/>
      <c r="Z218" s="114"/>
    </row>
    <row r="219" spans="1:26" ht="12.75">
      <c r="A219" s="153"/>
      <c r="B219" s="150"/>
      <c r="C219" s="150"/>
      <c r="D219" s="150"/>
      <c r="E219" s="139"/>
      <c r="F219" s="118"/>
      <c r="G219" s="119"/>
      <c r="H219" s="118"/>
      <c r="I219" s="106"/>
      <c r="J219" s="117"/>
      <c r="K219" s="118"/>
      <c r="L219" s="118"/>
      <c r="M219" s="118"/>
      <c r="N219" s="118"/>
      <c r="O219" s="118"/>
      <c r="P219" s="117"/>
      <c r="Q219" s="117"/>
      <c r="R219" s="117"/>
      <c r="S219" s="117"/>
      <c r="T219" s="118"/>
      <c r="U219" s="118"/>
      <c r="V219" s="118"/>
      <c r="W219" s="114"/>
      <c r="X219" s="114"/>
      <c r="Y219" s="114"/>
      <c r="Z219" s="114"/>
    </row>
    <row r="220" spans="1:26" ht="12.75">
      <c r="A220" s="153"/>
      <c r="B220" s="150"/>
      <c r="C220" s="150"/>
      <c r="D220" s="150"/>
      <c r="E220" s="139"/>
      <c r="F220" s="118"/>
      <c r="G220" s="119"/>
      <c r="H220" s="118"/>
      <c r="I220" s="106"/>
      <c r="J220" s="117"/>
      <c r="K220" s="118"/>
      <c r="L220" s="118"/>
      <c r="M220" s="118"/>
      <c r="N220" s="118"/>
      <c r="O220" s="118"/>
      <c r="P220" s="117"/>
      <c r="Q220" s="117"/>
      <c r="R220" s="117"/>
      <c r="S220" s="117"/>
      <c r="T220" s="118"/>
      <c r="U220" s="118"/>
      <c r="V220" s="118"/>
      <c r="W220" s="114"/>
      <c r="X220" s="114"/>
      <c r="Y220" s="114"/>
      <c r="Z220" s="114"/>
    </row>
    <row r="221" spans="1:26" ht="12.75">
      <c r="A221" s="153"/>
      <c r="B221" s="150"/>
      <c r="C221" s="150"/>
      <c r="D221" s="150"/>
      <c r="E221" s="139"/>
      <c r="F221" s="118"/>
      <c r="G221" s="119"/>
      <c r="H221" s="118"/>
      <c r="I221" s="106"/>
      <c r="J221" s="117"/>
      <c r="K221" s="118"/>
      <c r="L221" s="118"/>
      <c r="M221" s="118"/>
      <c r="N221" s="118"/>
      <c r="O221" s="118"/>
      <c r="P221" s="117"/>
      <c r="Q221" s="117"/>
      <c r="R221" s="117"/>
      <c r="S221" s="117"/>
      <c r="T221" s="118"/>
      <c r="U221" s="118"/>
      <c r="V221" s="118"/>
      <c r="W221" s="114"/>
      <c r="X221" s="114"/>
      <c r="Y221" s="114"/>
      <c r="Z221" s="114"/>
    </row>
    <row r="222" spans="1:26" ht="12.75">
      <c r="A222" s="153"/>
      <c r="B222" s="150"/>
      <c r="C222" s="150"/>
      <c r="D222" s="150"/>
      <c r="E222" s="139"/>
      <c r="F222" s="118"/>
      <c r="G222" s="119"/>
      <c r="H222" s="118"/>
      <c r="I222" s="106"/>
      <c r="J222" s="117"/>
      <c r="K222" s="118"/>
      <c r="L222" s="118"/>
      <c r="M222" s="118"/>
      <c r="N222" s="118"/>
      <c r="O222" s="118"/>
      <c r="P222" s="117"/>
      <c r="Q222" s="117"/>
      <c r="R222" s="117"/>
      <c r="S222" s="117"/>
      <c r="T222" s="118"/>
      <c r="U222" s="118"/>
      <c r="V222" s="118"/>
      <c r="W222" s="114"/>
      <c r="X222" s="114"/>
      <c r="Y222" s="114"/>
      <c r="Z222" s="114"/>
    </row>
    <row r="223" spans="1:26" ht="12.75">
      <c r="A223" s="153"/>
      <c r="B223" s="150"/>
      <c r="C223" s="150"/>
      <c r="D223" s="150"/>
      <c r="E223" s="139"/>
      <c r="F223" s="118"/>
      <c r="G223" s="119"/>
      <c r="H223" s="118"/>
      <c r="I223" s="106"/>
      <c r="J223" s="117"/>
      <c r="K223" s="118"/>
      <c r="L223" s="118"/>
      <c r="M223" s="118"/>
      <c r="N223" s="118"/>
      <c r="O223" s="118"/>
      <c r="P223" s="117"/>
      <c r="Q223" s="117"/>
      <c r="R223" s="117"/>
      <c r="S223" s="117"/>
      <c r="T223" s="118"/>
      <c r="U223" s="118"/>
      <c r="V223" s="118"/>
      <c r="W223" s="114"/>
      <c r="X223" s="114"/>
      <c r="Y223" s="114"/>
      <c r="Z223" s="114"/>
    </row>
    <row r="224" spans="1:26" ht="12.75">
      <c r="A224" s="153"/>
      <c r="B224" s="150"/>
      <c r="C224" s="150"/>
      <c r="D224" s="150"/>
      <c r="E224" s="139"/>
      <c r="F224" s="118"/>
      <c r="G224" s="119"/>
      <c r="H224" s="118"/>
      <c r="I224" s="106"/>
      <c r="J224" s="117"/>
      <c r="K224" s="118"/>
      <c r="L224" s="118"/>
      <c r="M224" s="118"/>
      <c r="N224" s="118"/>
      <c r="O224" s="118"/>
      <c r="P224" s="117"/>
      <c r="Q224" s="117"/>
      <c r="R224" s="117"/>
      <c r="S224" s="117"/>
      <c r="T224" s="118"/>
      <c r="U224" s="118"/>
      <c r="V224" s="118"/>
      <c r="W224" s="114"/>
      <c r="X224" s="114"/>
      <c r="Y224" s="114"/>
      <c r="Z224" s="114"/>
    </row>
    <row r="225" spans="1:26" ht="12.75">
      <c r="A225" s="153"/>
      <c r="B225" s="150"/>
      <c r="C225" s="150"/>
      <c r="D225" s="150"/>
      <c r="E225" s="139"/>
      <c r="F225" s="118"/>
      <c r="G225" s="119"/>
      <c r="H225" s="118"/>
      <c r="I225" s="106"/>
      <c r="J225" s="117"/>
      <c r="K225" s="118"/>
      <c r="L225" s="118"/>
      <c r="M225" s="118"/>
      <c r="N225" s="118"/>
      <c r="O225" s="118"/>
      <c r="P225" s="117"/>
      <c r="Q225" s="117"/>
      <c r="R225" s="117"/>
      <c r="S225" s="117"/>
      <c r="T225" s="118"/>
      <c r="U225" s="118"/>
      <c r="V225" s="118"/>
      <c r="W225" s="114"/>
      <c r="X225" s="114"/>
      <c r="Y225" s="114"/>
      <c r="Z225" s="114"/>
    </row>
    <row r="226" spans="1:26" ht="12.75">
      <c r="A226" s="153"/>
      <c r="B226" s="150"/>
      <c r="C226" s="150"/>
      <c r="D226" s="150"/>
      <c r="E226" s="139"/>
      <c r="F226" s="118"/>
      <c r="G226" s="119"/>
      <c r="H226" s="118"/>
      <c r="I226" s="106"/>
      <c r="J226" s="117"/>
      <c r="K226" s="118"/>
      <c r="L226" s="118"/>
      <c r="M226" s="118"/>
      <c r="N226" s="118"/>
      <c r="O226" s="118"/>
      <c r="P226" s="117"/>
      <c r="Q226" s="117"/>
      <c r="R226" s="117"/>
      <c r="S226" s="117"/>
      <c r="T226" s="118"/>
      <c r="U226" s="118"/>
      <c r="V226" s="118"/>
      <c r="W226" s="114"/>
      <c r="X226" s="114"/>
      <c r="Y226" s="114"/>
      <c r="Z226" s="114"/>
    </row>
    <row r="227" spans="1:26" ht="12.75">
      <c r="A227" s="153"/>
      <c r="B227" s="150"/>
      <c r="C227" s="150"/>
      <c r="D227" s="150"/>
      <c r="E227" s="139"/>
      <c r="F227" s="118"/>
      <c r="G227" s="119"/>
      <c r="H227" s="118"/>
      <c r="I227" s="106"/>
      <c r="J227" s="117"/>
      <c r="K227" s="118"/>
      <c r="L227" s="118"/>
      <c r="M227" s="118"/>
      <c r="N227" s="118"/>
      <c r="O227" s="118"/>
      <c r="P227" s="117"/>
      <c r="Q227" s="117"/>
      <c r="R227" s="117"/>
      <c r="S227" s="117"/>
      <c r="T227" s="118"/>
      <c r="U227" s="118"/>
      <c r="V227" s="118"/>
      <c r="W227" s="114"/>
      <c r="X227" s="114"/>
      <c r="Y227" s="114"/>
      <c r="Z227" s="114"/>
    </row>
    <row r="228" spans="1:26" ht="12.75">
      <c r="A228" s="153"/>
      <c r="B228" s="150"/>
      <c r="C228" s="150"/>
      <c r="D228" s="150"/>
      <c r="E228" s="139"/>
      <c r="F228" s="118"/>
      <c r="G228" s="119"/>
      <c r="H228" s="118"/>
      <c r="I228" s="106"/>
      <c r="J228" s="117"/>
      <c r="K228" s="118"/>
      <c r="L228" s="118"/>
      <c r="M228" s="118"/>
      <c r="N228" s="118"/>
      <c r="O228" s="118"/>
      <c r="P228" s="117"/>
      <c r="Q228" s="117"/>
      <c r="R228" s="117"/>
      <c r="S228" s="117"/>
      <c r="T228" s="118"/>
      <c r="U228" s="118"/>
      <c r="V228" s="118"/>
      <c r="W228" s="114"/>
      <c r="X228" s="114"/>
      <c r="Y228" s="114"/>
      <c r="Z228" s="114"/>
    </row>
    <row r="229" spans="1:26" ht="12.75">
      <c r="A229" s="153"/>
      <c r="B229" s="150"/>
      <c r="C229" s="150"/>
      <c r="D229" s="150"/>
      <c r="E229" s="139"/>
      <c r="F229" s="118"/>
      <c r="G229" s="119"/>
      <c r="H229" s="118"/>
      <c r="I229" s="106"/>
      <c r="J229" s="117"/>
      <c r="K229" s="118"/>
      <c r="L229" s="118"/>
      <c r="M229" s="118"/>
      <c r="N229" s="118"/>
      <c r="O229" s="118"/>
      <c r="P229" s="117"/>
      <c r="Q229" s="117"/>
      <c r="R229" s="117"/>
      <c r="S229" s="117"/>
      <c r="T229" s="118"/>
      <c r="U229" s="118"/>
      <c r="V229" s="118"/>
      <c r="W229" s="114"/>
      <c r="X229" s="114"/>
      <c r="Y229" s="114"/>
      <c r="Z229" s="114"/>
    </row>
    <row r="230" spans="1:26" ht="12.75">
      <c r="A230" s="153"/>
      <c r="B230" s="150"/>
      <c r="C230" s="150"/>
      <c r="D230" s="150"/>
      <c r="E230" s="139"/>
      <c r="F230" s="118"/>
      <c r="G230" s="119"/>
      <c r="H230" s="118"/>
      <c r="I230" s="106"/>
      <c r="J230" s="117"/>
      <c r="K230" s="118"/>
      <c r="L230" s="118"/>
      <c r="M230" s="118"/>
      <c r="N230" s="118"/>
      <c r="O230" s="118"/>
      <c r="P230" s="117"/>
      <c r="Q230" s="117"/>
      <c r="R230" s="117"/>
      <c r="S230" s="117"/>
      <c r="T230" s="118"/>
      <c r="U230" s="118"/>
      <c r="V230" s="118"/>
      <c r="W230" s="114"/>
      <c r="X230" s="114"/>
      <c r="Y230" s="114"/>
      <c r="Z230" s="114"/>
    </row>
    <row r="231" spans="1:26" ht="12.75">
      <c r="A231" s="153"/>
      <c r="B231" s="150"/>
      <c r="C231" s="150"/>
      <c r="D231" s="150"/>
      <c r="E231" s="139"/>
      <c r="F231" s="118"/>
      <c r="G231" s="119"/>
      <c r="H231" s="118"/>
      <c r="I231" s="106"/>
      <c r="J231" s="117"/>
      <c r="K231" s="118"/>
      <c r="L231" s="118"/>
      <c r="M231" s="118"/>
      <c r="N231" s="118"/>
      <c r="O231" s="118"/>
      <c r="P231" s="117"/>
      <c r="Q231" s="117"/>
      <c r="R231" s="117"/>
      <c r="S231" s="117"/>
      <c r="T231" s="118"/>
      <c r="U231" s="118"/>
      <c r="V231" s="118"/>
      <c r="W231" s="114"/>
      <c r="X231" s="114"/>
      <c r="Y231" s="114"/>
      <c r="Z231" s="114"/>
    </row>
    <row r="232" spans="1:26" ht="12.75">
      <c r="A232" s="153"/>
      <c r="B232" s="150"/>
      <c r="C232" s="150"/>
      <c r="D232" s="150"/>
      <c r="E232" s="139"/>
      <c r="F232" s="118"/>
      <c r="G232" s="119"/>
      <c r="H232" s="118"/>
      <c r="I232" s="106"/>
      <c r="J232" s="117"/>
      <c r="K232" s="118"/>
      <c r="L232" s="118"/>
      <c r="M232" s="118"/>
      <c r="N232" s="118"/>
      <c r="O232" s="118"/>
      <c r="P232" s="117"/>
      <c r="Q232" s="117"/>
      <c r="R232" s="117"/>
      <c r="S232" s="117"/>
      <c r="T232" s="118"/>
      <c r="U232" s="118"/>
      <c r="V232" s="118"/>
      <c r="W232" s="114"/>
      <c r="X232" s="114"/>
      <c r="Y232" s="114"/>
      <c r="Z232" s="114"/>
    </row>
    <row r="233" spans="1:26" ht="12.75">
      <c r="A233" s="153"/>
      <c r="B233" s="150"/>
      <c r="C233" s="150"/>
      <c r="D233" s="150"/>
      <c r="E233" s="139"/>
      <c r="F233" s="118"/>
      <c r="G233" s="119"/>
      <c r="H233" s="118"/>
      <c r="I233" s="106"/>
      <c r="J233" s="117"/>
      <c r="K233" s="118"/>
      <c r="L233" s="118"/>
      <c r="M233" s="118"/>
      <c r="N233" s="118"/>
      <c r="O233" s="118"/>
      <c r="P233" s="117"/>
      <c r="Q233" s="117"/>
      <c r="R233" s="117"/>
      <c r="S233" s="117"/>
      <c r="T233" s="118"/>
      <c r="U233" s="118"/>
      <c r="V233" s="118"/>
      <c r="W233" s="114"/>
      <c r="X233" s="114"/>
      <c r="Y233" s="114"/>
      <c r="Z233" s="114"/>
    </row>
    <row r="234" spans="1:26" ht="12.75">
      <c r="A234" s="153"/>
      <c r="B234" s="150"/>
      <c r="C234" s="150"/>
      <c r="D234" s="150"/>
      <c r="E234" s="139"/>
      <c r="F234" s="118"/>
      <c r="G234" s="119"/>
      <c r="H234" s="118"/>
      <c r="I234" s="106"/>
      <c r="J234" s="117"/>
      <c r="K234" s="118"/>
      <c r="L234" s="118"/>
      <c r="M234" s="118"/>
      <c r="N234" s="118"/>
      <c r="O234" s="118"/>
      <c r="P234" s="117"/>
      <c r="Q234" s="117"/>
      <c r="R234" s="117"/>
      <c r="S234" s="117"/>
      <c r="T234" s="118"/>
      <c r="U234" s="118"/>
      <c r="V234" s="118"/>
      <c r="W234" s="114"/>
      <c r="X234" s="114"/>
      <c r="Y234" s="114"/>
      <c r="Z234" s="114"/>
    </row>
    <row r="235" spans="1:26" ht="12.75">
      <c r="A235" s="153"/>
      <c r="B235" s="150"/>
      <c r="C235" s="150"/>
      <c r="D235" s="150"/>
      <c r="E235" s="139"/>
      <c r="F235" s="118"/>
      <c r="G235" s="119"/>
      <c r="H235" s="118"/>
      <c r="I235" s="106"/>
      <c r="J235" s="117"/>
      <c r="K235" s="118"/>
      <c r="L235" s="118"/>
      <c r="M235" s="118"/>
      <c r="N235" s="118"/>
      <c r="O235" s="118"/>
      <c r="P235" s="117"/>
      <c r="Q235" s="117"/>
      <c r="R235" s="117"/>
      <c r="S235" s="117"/>
      <c r="T235" s="118"/>
      <c r="U235" s="118"/>
      <c r="V235" s="118"/>
      <c r="W235" s="114"/>
      <c r="X235" s="114"/>
      <c r="Y235" s="114"/>
      <c r="Z235" s="114"/>
    </row>
    <row r="236" spans="1:26" ht="12.75">
      <c r="A236" s="153"/>
      <c r="B236" s="150"/>
      <c r="C236" s="150"/>
      <c r="D236" s="150"/>
      <c r="E236" s="139"/>
      <c r="F236" s="118"/>
      <c r="G236" s="119"/>
      <c r="H236" s="118"/>
      <c r="I236" s="106"/>
      <c r="J236" s="117"/>
      <c r="K236" s="118"/>
      <c r="L236" s="118"/>
      <c r="M236" s="118"/>
      <c r="N236" s="118"/>
      <c r="O236" s="118"/>
      <c r="P236" s="117"/>
      <c r="Q236" s="117"/>
      <c r="R236" s="117"/>
      <c r="S236" s="117"/>
      <c r="T236" s="118"/>
      <c r="U236" s="118"/>
      <c r="V236" s="118"/>
      <c r="W236" s="114"/>
      <c r="X236" s="114"/>
      <c r="Y236" s="114"/>
      <c r="Z236" s="114"/>
    </row>
    <row r="237" spans="1:26" ht="12.75">
      <c r="A237" s="153"/>
      <c r="B237" s="150"/>
      <c r="C237" s="150"/>
      <c r="D237" s="150"/>
      <c r="E237" s="139"/>
      <c r="F237" s="118"/>
      <c r="G237" s="119"/>
      <c r="H237" s="118"/>
      <c r="I237" s="106"/>
      <c r="J237" s="117"/>
      <c r="K237" s="118"/>
      <c r="L237" s="118"/>
      <c r="M237" s="118"/>
      <c r="N237" s="118"/>
      <c r="O237" s="118"/>
      <c r="P237" s="117"/>
      <c r="Q237" s="117"/>
      <c r="R237" s="117"/>
      <c r="S237" s="117"/>
      <c r="T237" s="118"/>
      <c r="U237" s="118"/>
      <c r="V237" s="118"/>
      <c r="W237" s="114"/>
      <c r="X237" s="114"/>
      <c r="Y237" s="114"/>
      <c r="Z237" s="114"/>
    </row>
    <row r="238" spans="1:26" ht="12.75">
      <c r="A238" s="153"/>
      <c r="B238" s="150"/>
      <c r="C238" s="150"/>
      <c r="D238" s="150"/>
      <c r="E238" s="139"/>
      <c r="F238" s="118"/>
      <c r="G238" s="119"/>
      <c r="H238" s="118"/>
      <c r="I238" s="106"/>
      <c r="J238" s="117"/>
      <c r="K238" s="118"/>
      <c r="L238" s="118"/>
      <c r="M238" s="118"/>
      <c r="N238" s="118"/>
      <c r="O238" s="118"/>
      <c r="P238" s="117"/>
      <c r="Q238" s="117"/>
      <c r="R238" s="117"/>
      <c r="S238" s="117"/>
      <c r="T238" s="118"/>
      <c r="U238" s="118"/>
      <c r="V238" s="118"/>
      <c r="W238" s="114"/>
      <c r="X238" s="114"/>
      <c r="Y238" s="114"/>
      <c r="Z238" s="114"/>
    </row>
    <row r="239" spans="1:26" ht="12.75">
      <c r="A239" s="135"/>
      <c r="B239" s="111"/>
      <c r="C239" s="111"/>
      <c r="D239" s="111"/>
      <c r="E239" s="137"/>
      <c r="F239" s="119"/>
      <c r="G239" s="119"/>
      <c r="H239" s="118"/>
      <c r="I239" s="119"/>
      <c r="J239" s="117"/>
      <c r="K239" s="118"/>
      <c r="L239" s="118"/>
      <c r="M239" s="118"/>
      <c r="N239" s="118"/>
      <c r="O239" s="118"/>
      <c r="P239" s="117"/>
      <c r="Q239" s="117"/>
      <c r="R239" s="117"/>
      <c r="S239" s="117"/>
      <c r="T239" s="118"/>
      <c r="U239" s="118"/>
      <c r="V239" s="118"/>
      <c r="W239" s="114"/>
      <c r="X239" s="114"/>
      <c r="Y239" s="114"/>
      <c r="Z239" s="114"/>
    </row>
    <row r="240" spans="1:26" ht="12.75">
      <c r="A240" s="135"/>
      <c r="B240" s="136"/>
      <c r="C240" s="136"/>
      <c r="D240" s="136"/>
      <c r="E240" s="137"/>
      <c r="F240" s="119"/>
      <c r="G240" s="119"/>
      <c r="H240" s="118"/>
      <c r="I240" s="119"/>
      <c r="J240" s="117"/>
      <c r="K240" s="118"/>
      <c r="L240" s="118"/>
      <c r="M240" s="118"/>
      <c r="N240" s="118"/>
      <c r="O240" s="118"/>
      <c r="P240" s="117"/>
      <c r="Q240" s="117"/>
      <c r="R240" s="117"/>
      <c r="S240" s="117"/>
      <c r="T240" s="118"/>
      <c r="U240" s="118"/>
      <c r="V240" s="118"/>
      <c r="W240" s="114"/>
      <c r="X240" s="114"/>
      <c r="Y240" s="114"/>
      <c r="Z240" s="114"/>
    </row>
    <row r="241" spans="1:26" ht="12.75">
      <c r="A241" s="135"/>
      <c r="B241" s="136"/>
      <c r="C241" s="111"/>
      <c r="D241" s="136"/>
      <c r="E241" s="137"/>
      <c r="F241" s="119"/>
      <c r="G241" s="119"/>
      <c r="H241" s="118"/>
      <c r="I241" s="119"/>
      <c r="J241" s="117"/>
      <c r="K241" s="118"/>
      <c r="L241" s="118"/>
      <c r="M241" s="118"/>
      <c r="N241" s="118"/>
      <c r="O241" s="118"/>
      <c r="P241" s="117"/>
      <c r="Q241" s="117"/>
      <c r="R241" s="117"/>
      <c r="S241" s="117"/>
      <c r="T241" s="118"/>
      <c r="U241" s="118"/>
      <c r="V241" s="118"/>
      <c r="W241" s="114"/>
      <c r="X241" s="114"/>
      <c r="Y241" s="114"/>
      <c r="Z241" s="114"/>
    </row>
    <row r="242" spans="1:26" ht="12.75">
      <c r="A242" s="131"/>
      <c r="B242" s="136"/>
      <c r="C242" s="111"/>
      <c r="D242" s="136"/>
      <c r="E242" s="137"/>
      <c r="F242" s="119"/>
      <c r="G242" s="119"/>
      <c r="H242" s="118"/>
      <c r="I242" s="119"/>
      <c r="J242" s="117"/>
      <c r="K242" s="118"/>
      <c r="L242" s="118"/>
      <c r="M242" s="118"/>
      <c r="N242" s="118"/>
      <c r="O242" s="118"/>
      <c r="P242" s="117"/>
      <c r="Q242" s="117"/>
      <c r="R242" s="117"/>
      <c r="S242" s="117"/>
      <c r="T242" s="118"/>
      <c r="U242" s="118"/>
      <c r="V242" s="118"/>
      <c r="W242" s="114"/>
      <c r="X242" s="114"/>
      <c r="Y242" s="114"/>
      <c r="Z242" s="114"/>
    </row>
    <row r="243" spans="1:26" ht="12.75">
      <c r="A243" s="133"/>
      <c r="B243" s="136"/>
      <c r="C243" s="111"/>
      <c r="D243" s="136"/>
      <c r="E243" s="137"/>
      <c r="F243" s="119"/>
      <c r="G243" s="119"/>
      <c r="H243" s="118"/>
      <c r="I243" s="119"/>
      <c r="J243" s="117"/>
      <c r="K243" s="118"/>
      <c r="L243" s="118"/>
      <c r="M243" s="118"/>
      <c r="N243" s="118"/>
      <c r="O243" s="118"/>
      <c r="P243" s="117"/>
      <c r="Q243" s="117"/>
      <c r="R243" s="117"/>
      <c r="S243" s="117"/>
      <c r="T243" s="118"/>
      <c r="U243" s="118"/>
      <c r="V243" s="118"/>
      <c r="W243" s="114"/>
      <c r="X243" s="114"/>
      <c r="Y243" s="114"/>
      <c r="Z243" s="114"/>
    </row>
    <row r="244" spans="1:26" ht="12.75">
      <c r="A244" s="131"/>
      <c r="B244" s="136"/>
      <c r="C244" s="111"/>
      <c r="D244" s="136"/>
      <c r="E244" s="137"/>
      <c r="F244" s="119"/>
      <c r="G244" s="119"/>
      <c r="H244" s="118"/>
      <c r="I244" s="119"/>
      <c r="J244" s="117"/>
      <c r="K244" s="118"/>
      <c r="L244" s="118"/>
      <c r="M244" s="118"/>
      <c r="N244" s="118"/>
      <c r="O244" s="118"/>
      <c r="P244" s="117"/>
      <c r="Q244" s="117"/>
      <c r="R244" s="117"/>
      <c r="S244" s="117"/>
      <c r="T244" s="118"/>
      <c r="U244" s="118"/>
      <c r="V244" s="118"/>
      <c r="W244" s="114"/>
      <c r="X244" s="114"/>
      <c r="Y244" s="114"/>
      <c r="Z244" s="114"/>
    </row>
    <row r="245" spans="1:26" ht="12.75">
      <c r="A245" s="151"/>
      <c r="B245" s="150"/>
      <c r="C245" s="150"/>
      <c r="D245" s="150"/>
      <c r="E245" s="137"/>
      <c r="F245" s="118"/>
      <c r="G245" s="118"/>
      <c r="H245" s="118"/>
      <c r="I245" s="118"/>
      <c r="J245" s="122"/>
      <c r="K245" s="118"/>
      <c r="L245" s="118"/>
      <c r="M245" s="118"/>
      <c r="N245" s="118"/>
      <c r="O245" s="118"/>
      <c r="P245" s="117"/>
      <c r="Q245" s="117"/>
      <c r="R245" s="117"/>
      <c r="S245" s="117"/>
      <c r="T245" s="118"/>
      <c r="U245" s="118"/>
      <c r="V245" s="118"/>
      <c r="W245" s="114"/>
      <c r="X245" s="114"/>
      <c r="Y245" s="114"/>
      <c r="Z245" s="114"/>
    </row>
    <row r="246" spans="1:26" ht="12.75">
      <c r="A246" s="151"/>
      <c r="B246" s="150"/>
      <c r="C246" s="150"/>
      <c r="D246" s="150"/>
      <c r="E246" s="137"/>
      <c r="F246" s="118"/>
      <c r="G246" s="118"/>
      <c r="H246" s="118"/>
      <c r="I246" s="118"/>
      <c r="J246" s="122"/>
      <c r="K246" s="118"/>
      <c r="L246" s="118"/>
      <c r="M246" s="118"/>
      <c r="N246" s="118"/>
      <c r="O246" s="118"/>
      <c r="P246" s="117"/>
      <c r="Q246" s="117"/>
      <c r="R246" s="117"/>
      <c r="S246" s="117"/>
      <c r="T246" s="118"/>
      <c r="U246" s="118"/>
      <c r="V246" s="118"/>
      <c r="W246" s="114"/>
      <c r="X246" s="114"/>
      <c r="Y246" s="114"/>
      <c r="Z246" s="114"/>
    </row>
    <row r="247" spans="1:26" ht="12.75">
      <c r="A247" s="132"/>
      <c r="B247" s="111"/>
      <c r="C247" s="111"/>
      <c r="D247" s="111"/>
      <c r="E247" s="137"/>
      <c r="F247" s="118"/>
      <c r="G247" s="118"/>
      <c r="H247" s="118"/>
      <c r="I247" s="118"/>
      <c r="J247" s="122"/>
      <c r="K247" s="118"/>
      <c r="L247" s="118"/>
      <c r="M247" s="118"/>
      <c r="N247" s="118"/>
      <c r="O247" s="118"/>
      <c r="P247" s="117"/>
      <c r="Q247" s="117"/>
      <c r="R247" s="117"/>
      <c r="S247" s="117"/>
      <c r="T247" s="118"/>
      <c r="U247" s="118"/>
      <c r="V247" s="118"/>
      <c r="W247" s="114"/>
      <c r="X247" s="114"/>
      <c r="Y247" s="114"/>
      <c r="Z247" s="114"/>
    </row>
    <row r="248" spans="1:26" ht="12.75">
      <c r="A248" s="131"/>
      <c r="B248" s="111"/>
      <c r="C248" s="111"/>
      <c r="D248" s="111"/>
      <c r="E248" s="137"/>
      <c r="F248" s="118"/>
      <c r="G248" s="118"/>
      <c r="H248" s="118"/>
      <c r="I248" s="118"/>
      <c r="J248" s="122"/>
      <c r="K248" s="118"/>
      <c r="L248" s="118"/>
      <c r="M248" s="118"/>
      <c r="N248" s="118"/>
      <c r="O248" s="118"/>
      <c r="P248" s="117"/>
      <c r="Q248" s="117"/>
      <c r="R248" s="117"/>
      <c r="S248" s="117"/>
      <c r="T248" s="118"/>
      <c r="U248" s="118"/>
      <c r="V248" s="118"/>
      <c r="W248" s="114"/>
      <c r="X248" s="114"/>
      <c r="Y248" s="114"/>
      <c r="Z248" s="114"/>
    </row>
    <row r="249" spans="1:26" ht="12.75">
      <c r="A249" s="99"/>
      <c r="B249" s="111"/>
      <c r="C249" s="111"/>
      <c r="D249" s="111"/>
      <c r="E249" s="137"/>
      <c r="F249" s="118"/>
      <c r="G249" s="118"/>
      <c r="H249" s="118"/>
      <c r="I249" s="118"/>
      <c r="J249" s="122"/>
      <c r="K249" s="118"/>
      <c r="L249" s="118"/>
      <c r="M249" s="118"/>
      <c r="N249" s="118"/>
      <c r="O249" s="118"/>
      <c r="P249" s="117"/>
      <c r="Q249" s="117"/>
      <c r="R249" s="117"/>
      <c r="S249" s="117"/>
      <c r="T249" s="118"/>
      <c r="U249" s="118"/>
      <c r="V249" s="118"/>
      <c r="W249" s="114"/>
      <c r="X249" s="114"/>
      <c r="Y249" s="114"/>
      <c r="Z249" s="114"/>
    </row>
    <row r="250" spans="1:26" ht="12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18"/>
      <c r="U250" s="118"/>
      <c r="V250" s="118"/>
      <c r="W250" s="114"/>
      <c r="X250" s="114"/>
      <c r="Y250" s="114"/>
      <c r="Z250" s="114"/>
    </row>
    <row r="251" spans="1:26" ht="12.75">
      <c r="A251" s="99"/>
      <c r="B251" s="111"/>
      <c r="C251" s="111"/>
      <c r="D251" s="110"/>
      <c r="E251" s="99"/>
      <c r="F251" s="99"/>
      <c r="G251" s="99"/>
      <c r="H251" s="99"/>
      <c r="I251" s="99"/>
      <c r="J251" s="118"/>
      <c r="K251" s="118"/>
      <c r="L251" s="118"/>
      <c r="M251" s="118"/>
      <c r="N251" s="118"/>
      <c r="O251" s="118"/>
      <c r="P251" s="117"/>
      <c r="Q251" s="117"/>
      <c r="R251" s="117"/>
      <c r="S251" s="117"/>
      <c r="T251" s="118"/>
      <c r="U251" s="118"/>
      <c r="V251" s="118"/>
      <c r="W251" s="114"/>
      <c r="X251" s="114"/>
      <c r="Y251" s="114"/>
      <c r="Z251" s="114"/>
    </row>
    <row r="252" spans="1:26" ht="12.75">
      <c r="A252" s="151"/>
      <c r="B252" s="150"/>
      <c r="C252" s="150"/>
      <c r="D252" s="150"/>
      <c r="E252" s="137"/>
      <c r="F252" s="118"/>
      <c r="G252" s="118"/>
      <c r="H252" s="118"/>
      <c r="I252" s="118"/>
      <c r="J252" s="122"/>
      <c r="K252" s="118"/>
      <c r="L252" s="118"/>
      <c r="M252" s="118"/>
      <c r="N252" s="118"/>
      <c r="O252" s="118"/>
      <c r="P252" s="117"/>
      <c r="Q252" s="117"/>
      <c r="R252" s="117"/>
      <c r="S252" s="117"/>
      <c r="T252" s="118"/>
      <c r="U252" s="118"/>
      <c r="V252" s="118"/>
      <c r="W252" s="114"/>
      <c r="X252" s="114"/>
      <c r="Y252" s="114"/>
      <c r="Z252" s="114"/>
    </row>
    <row r="253" spans="1:26" ht="12.75">
      <c r="A253" s="151"/>
      <c r="B253" s="150"/>
      <c r="C253" s="150"/>
      <c r="D253" s="150"/>
      <c r="E253" s="137"/>
      <c r="F253" s="118"/>
      <c r="G253" s="118"/>
      <c r="H253" s="118"/>
      <c r="I253" s="118"/>
      <c r="J253" s="122"/>
      <c r="K253" s="118"/>
      <c r="L253" s="118"/>
      <c r="M253" s="118"/>
      <c r="N253" s="118"/>
      <c r="O253" s="118"/>
      <c r="P253" s="117"/>
      <c r="Q253" s="117"/>
      <c r="R253" s="117"/>
      <c r="S253" s="117"/>
      <c r="T253" s="118"/>
      <c r="U253" s="118"/>
      <c r="V253" s="118"/>
      <c r="W253" s="114"/>
      <c r="X253" s="114"/>
      <c r="Y253" s="114"/>
      <c r="Z253" s="114"/>
    </row>
    <row r="254" spans="1:26" ht="12.75">
      <c r="A254" s="138"/>
      <c r="B254" s="111"/>
      <c r="C254" s="111"/>
      <c r="D254" s="111"/>
      <c r="E254" s="137"/>
      <c r="F254" s="118"/>
      <c r="G254" s="118"/>
      <c r="H254" s="118"/>
      <c r="I254" s="118"/>
      <c r="J254" s="122"/>
      <c r="K254" s="118"/>
      <c r="L254" s="118"/>
      <c r="M254" s="118"/>
      <c r="N254" s="118"/>
      <c r="O254" s="118"/>
      <c r="P254" s="117"/>
      <c r="Q254" s="117"/>
      <c r="R254" s="117"/>
      <c r="S254" s="117"/>
      <c r="T254" s="118"/>
      <c r="U254" s="118"/>
      <c r="V254" s="118"/>
      <c r="W254" s="114"/>
      <c r="X254" s="114"/>
      <c r="Y254" s="114"/>
      <c r="Z254" s="114"/>
    </row>
    <row r="255" spans="1:26" ht="12.75">
      <c r="A255" s="138"/>
      <c r="B255" s="111"/>
      <c r="C255" s="111"/>
      <c r="D255" s="111"/>
      <c r="E255" s="137"/>
      <c r="F255" s="118"/>
      <c r="G255" s="118"/>
      <c r="H255" s="118"/>
      <c r="I255" s="118"/>
      <c r="J255" s="122"/>
      <c r="K255" s="118"/>
      <c r="L255" s="118"/>
      <c r="M255" s="118"/>
      <c r="N255" s="118"/>
      <c r="O255" s="118"/>
      <c r="P255" s="117"/>
      <c r="Q255" s="117"/>
      <c r="R255" s="117"/>
      <c r="S255" s="117"/>
      <c r="T255" s="118"/>
      <c r="U255" s="118"/>
      <c r="V255" s="118"/>
      <c r="W255" s="114"/>
      <c r="X255" s="114"/>
      <c r="Y255" s="114"/>
      <c r="Z255" s="114"/>
    </row>
    <row r="256" spans="1:26" ht="12.75">
      <c r="A256" s="132"/>
      <c r="B256" s="111"/>
      <c r="C256" s="111"/>
      <c r="D256" s="111"/>
      <c r="E256" s="137"/>
      <c r="F256" s="118"/>
      <c r="G256" s="118"/>
      <c r="H256" s="118"/>
      <c r="I256" s="118"/>
      <c r="J256" s="122"/>
      <c r="K256" s="118"/>
      <c r="L256" s="118"/>
      <c r="M256" s="118"/>
      <c r="N256" s="118"/>
      <c r="O256" s="118"/>
      <c r="P256" s="117"/>
      <c r="Q256" s="117"/>
      <c r="R256" s="117"/>
      <c r="S256" s="117"/>
      <c r="T256" s="118"/>
      <c r="U256" s="118"/>
      <c r="V256" s="118"/>
      <c r="W256" s="114"/>
      <c r="X256" s="114"/>
      <c r="Y256" s="114"/>
      <c r="Z256" s="114"/>
    </row>
    <row r="257" spans="1:26" ht="12.75">
      <c r="A257" s="133"/>
      <c r="B257" s="111"/>
      <c r="C257" s="111"/>
      <c r="D257" s="111"/>
      <c r="E257" s="137"/>
      <c r="F257" s="118"/>
      <c r="G257" s="118"/>
      <c r="H257" s="118"/>
      <c r="I257" s="118"/>
      <c r="J257" s="122"/>
      <c r="K257" s="118"/>
      <c r="L257" s="118"/>
      <c r="M257" s="118"/>
      <c r="N257" s="118"/>
      <c r="O257" s="118"/>
      <c r="P257" s="117"/>
      <c r="Q257" s="117"/>
      <c r="R257" s="117"/>
      <c r="S257" s="117"/>
      <c r="T257" s="118"/>
      <c r="U257" s="118"/>
      <c r="V257" s="118"/>
      <c r="W257" s="114"/>
      <c r="X257" s="114"/>
      <c r="Y257" s="114"/>
      <c r="Z257" s="114"/>
    </row>
    <row r="258" spans="1:26" ht="12.75">
      <c r="A258" s="138"/>
      <c r="B258" s="111"/>
      <c r="C258" s="111"/>
      <c r="D258" s="111"/>
      <c r="E258" s="137"/>
      <c r="F258" s="157"/>
      <c r="G258" s="157"/>
      <c r="H258" s="157"/>
      <c r="I258" s="118"/>
      <c r="J258" s="107"/>
      <c r="K258" s="118"/>
      <c r="L258" s="118"/>
      <c r="M258" s="118"/>
      <c r="N258" s="118"/>
      <c r="O258" s="118"/>
      <c r="P258" s="141"/>
      <c r="Q258" s="141"/>
      <c r="R258" s="141"/>
      <c r="S258" s="117"/>
      <c r="T258" s="118"/>
      <c r="U258" s="118"/>
      <c r="V258" s="118"/>
      <c r="W258" s="114"/>
      <c r="X258" s="114"/>
      <c r="Y258" s="114"/>
      <c r="Z258" s="114"/>
    </row>
    <row r="259" spans="1:26" ht="12.75">
      <c r="A259" s="133"/>
      <c r="B259" s="111"/>
      <c r="C259" s="111"/>
      <c r="D259" s="111"/>
      <c r="E259" s="137"/>
      <c r="F259" s="118"/>
      <c r="G259" s="118"/>
      <c r="H259" s="118"/>
      <c r="I259" s="118"/>
      <c r="J259" s="108"/>
      <c r="K259" s="118"/>
      <c r="L259" s="118"/>
      <c r="M259" s="118"/>
      <c r="N259" s="118"/>
      <c r="O259" s="118"/>
      <c r="P259" s="117"/>
      <c r="Q259" s="117"/>
      <c r="R259" s="117"/>
      <c r="S259" s="117"/>
      <c r="T259" s="118"/>
      <c r="U259" s="118"/>
      <c r="V259" s="118"/>
      <c r="W259" s="114"/>
      <c r="X259" s="114"/>
      <c r="Y259" s="114"/>
      <c r="Z259" s="114"/>
    </row>
    <row r="260" spans="1:26" ht="12.75">
      <c r="A260" s="138"/>
      <c r="B260" s="150"/>
      <c r="C260" s="150"/>
      <c r="D260" s="150"/>
      <c r="E260" s="137"/>
      <c r="F260" s="118"/>
      <c r="G260" s="118"/>
      <c r="H260" s="118"/>
      <c r="I260" s="118"/>
      <c r="J260" s="108"/>
      <c r="K260" s="118"/>
      <c r="L260" s="118"/>
      <c r="M260" s="118"/>
      <c r="N260" s="118"/>
      <c r="O260" s="118"/>
      <c r="P260" s="117"/>
      <c r="Q260" s="117"/>
      <c r="R260" s="117"/>
      <c r="S260" s="117"/>
      <c r="T260" s="118"/>
      <c r="U260" s="118"/>
      <c r="V260" s="118"/>
      <c r="W260" s="114"/>
      <c r="X260" s="114"/>
      <c r="Y260" s="114"/>
      <c r="Z260" s="114"/>
    </row>
    <row r="261" spans="1:26" ht="12.75">
      <c r="A261" s="142"/>
      <c r="B261" s="150"/>
      <c r="C261" s="150"/>
      <c r="D261" s="150"/>
      <c r="E261" s="137"/>
      <c r="F261" s="118"/>
      <c r="G261" s="118"/>
      <c r="H261" s="118"/>
      <c r="I261" s="118"/>
      <c r="J261" s="108"/>
      <c r="K261" s="118"/>
      <c r="L261" s="118"/>
      <c r="M261" s="118"/>
      <c r="N261" s="118"/>
      <c r="O261" s="118"/>
      <c r="P261" s="117"/>
      <c r="Q261" s="117"/>
      <c r="R261" s="117"/>
      <c r="S261" s="117"/>
      <c r="T261" s="118"/>
      <c r="U261" s="118"/>
      <c r="V261" s="118"/>
      <c r="W261" s="114"/>
      <c r="X261" s="114"/>
      <c r="Y261" s="114"/>
      <c r="Z261" s="114"/>
    </row>
    <row r="262" spans="1:26" ht="12.75">
      <c r="A262" s="154"/>
      <c r="B262" s="150"/>
      <c r="C262" s="150"/>
      <c r="D262" s="150"/>
      <c r="E262" s="137"/>
      <c r="F262" s="118"/>
      <c r="G262" s="118"/>
      <c r="H262" s="118"/>
      <c r="I262" s="118"/>
      <c r="J262" s="108"/>
      <c r="K262" s="118"/>
      <c r="L262" s="118"/>
      <c r="M262" s="118"/>
      <c r="N262" s="118"/>
      <c r="O262" s="118"/>
      <c r="P262" s="117"/>
      <c r="Q262" s="117"/>
      <c r="R262" s="117"/>
      <c r="S262" s="117"/>
      <c r="T262" s="118"/>
      <c r="U262" s="118"/>
      <c r="V262" s="118"/>
      <c r="W262" s="114"/>
      <c r="X262" s="114"/>
      <c r="Y262" s="114"/>
      <c r="Z262" s="114"/>
    </row>
    <row r="263" spans="1:26" ht="12.75">
      <c r="A263" s="154"/>
      <c r="B263" s="150"/>
      <c r="C263" s="150"/>
      <c r="D263" s="150"/>
      <c r="E263" s="137"/>
      <c r="F263" s="118"/>
      <c r="G263" s="118"/>
      <c r="H263" s="118"/>
      <c r="I263" s="118"/>
      <c r="J263" s="108"/>
      <c r="K263" s="118"/>
      <c r="L263" s="118"/>
      <c r="M263" s="118"/>
      <c r="N263" s="118"/>
      <c r="O263" s="118"/>
      <c r="P263" s="117"/>
      <c r="Q263" s="117"/>
      <c r="R263" s="117"/>
      <c r="S263" s="117"/>
      <c r="T263" s="118"/>
      <c r="U263" s="118"/>
      <c r="V263" s="118"/>
      <c r="W263" s="114"/>
      <c r="X263" s="114"/>
      <c r="Y263" s="114"/>
      <c r="Z263" s="114"/>
    </row>
    <row r="264" spans="1:26" ht="12.75">
      <c r="A264" s="133"/>
      <c r="B264" s="111"/>
      <c r="C264" s="111"/>
      <c r="D264" s="111"/>
      <c r="E264" s="137"/>
      <c r="F264" s="118"/>
      <c r="G264" s="118"/>
      <c r="H264" s="118"/>
      <c r="I264" s="118"/>
      <c r="J264" s="108"/>
      <c r="K264" s="118"/>
      <c r="L264" s="118"/>
      <c r="M264" s="118"/>
      <c r="N264" s="118"/>
      <c r="O264" s="118"/>
      <c r="P264" s="117"/>
      <c r="Q264" s="117"/>
      <c r="R264" s="117"/>
      <c r="S264" s="117"/>
      <c r="T264" s="118"/>
      <c r="U264" s="118"/>
      <c r="V264" s="118"/>
      <c r="W264" s="114"/>
      <c r="X264" s="114"/>
      <c r="Y264" s="114"/>
      <c r="Z264" s="114"/>
    </row>
    <row r="265" spans="1:26" ht="12.75">
      <c r="A265" s="138"/>
      <c r="B265" s="150"/>
      <c r="C265" s="150"/>
      <c r="D265" s="150"/>
      <c r="E265" s="137"/>
      <c r="F265" s="118"/>
      <c r="G265" s="118"/>
      <c r="H265" s="118"/>
      <c r="I265" s="118"/>
      <c r="J265" s="108"/>
      <c r="K265" s="118"/>
      <c r="L265" s="118"/>
      <c r="M265" s="118"/>
      <c r="N265" s="118"/>
      <c r="O265" s="118"/>
      <c r="P265" s="117"/>
      <c r="Q265" s="117"/>
      <c r="R265" s="117"/>
      <c r="S265" s="117"/>
      <c r="T265" s="118"/>
      <c r="U265" s="118"/>
      <c r="V265" s="118"/>
      <c r="W265" s="114"/>
      <c r="X265" s="114"/>
      <c r="Y265" s="114"/>
      <c r="Z265" s="114"/>
    </row>
    <row r="266" spans="1:26" ht="12.75">
      <c r="A266" s="142"/>
      <c r="B266" s="150"/>
      <c r="C266" s="150"/>
      <c r="D266" s="150"/>
      <c r="E266" s="137"/>
      <c r="F266" s="118"/>
      <c r="G266" s="118"/>
      <c r="H266" s="118"/>
      <c r="I266" s="118"/>
      <c r="J266" s="108"/>
      <c r="K266" s="118"/>
      <c r="L266" s="118"/>
      <c r="M266" s="118"/>
      <c r="N266" s="118"/>
      <c r="O266" s="118"/>
      <c r="P266" s="117"/>
      <c r="Q266" s="117"/>
      <c r="R266" s="117"/>
      <c r="S266" s="117"/>
      <c r="T266" s="118"/>
      <c r="U266" s="118"/>
      <c r="V266" s="118"/>
      <c r="W266" s="114"/>
      <c r="X266" s="114"/>
      <c r="Y266" s="114"/>
      <c r="Z266" s="114"/>
    </row>
    <row r="267" spans="1:26" ht="12.75">
      <c r="A267" s="133"/>
      <c r="B267" s="111"/>
      <c r="C267" s="111"/>
      <c r="D267" s="111"/>
      <c r="E267" s="137"/>
      <c r="F267" s="118"/>
      <c r="G267" s="118"/>
      <c r="H267" s="118"/>
      <c r="I267" s="118"/>
      <c r="J267" s="108"/>
      <c r="K267" s="118"/>
      <c r="L267" s="118"/>
      <c r="M267" s="118"/>
      <c r="N267" s="118"/>
      <c r="O267" s="118"/>
      <c r="P267" s="117"/>
      <c r="Q267" s="117"/>
      <c r="R267" s="117"/>
      <c r="S267" s="117"/>
      <c r="T267" s="118"/>
      <c r="U267" s="118"/>
      <c r="V267" s="118"/>
      <c r="W267" s="114"/>
      <c r="X267" s="114"/>
      <c r="Y267" s="114"/>
      <c r="Z267" s="114"/>
    </row>
    <row r="268" spans="1:26" ht="12.75">
      <c r="A268" s="131"/>
      <c r="B268" s="150"/>
      <c r="C268" s="150"/>
      <c r="D268" s="150"/>
      <c r="E268" s="137"/>
      <c r="F268" s="118"/>
      <c r="G268" s="118"/>
      <c r="H268" s="118"/>
      <c r="I268" s="118"/>
      <c r="J268" s="108"/>
      <c r="K268" s="118"/>
      <c r="L268" s="118"/>
      <c r="M268" s="118"/>
      <c r="N268" s="118"/>
      <c r="O268" s="118"/>
      <c r="P268" s="117"/>
      <c r="Q268" s="117"/>
      <c r="R268" s="117"/>
      <c r="S268" s="117"/>
      <c r="T268" s="118"/>
      <c r="U268" s="118"/>
      <c r="V268" s="118"/>
      <c r="W268" s="114"/>
      <c r="X268" s="114"/>
      <c r="Y268" s="114"/>
      <c r="Z268" s="114"/>
    </row>
    <row r="269" spans="1:26" ht="12.75">
      <c r="A269" s="154"/>
      <c r="B269" s="150"/>
      <c r="C269" s="150"/>
      <c r="D269" s="150"/>
      <c r="E269" s="137"/>
      <c r="F269" s="118"/>
      <c r="G269" s="118"/>
      <c r="H269" s="118"/>
      <c r="I269" s="118"/>
      <c r="J269" s="109"/>
      <c r="K269" s="118"/>
      <c r="L269" s="118"/>
      <c r="M269" s="118"/>
      <c r="N269" s="118"/>
      <c r="O269" s="118"/>
      <c r="P269" s="117"/>
      <c r="Q269" s="117"/>
      <c r="R269" s="117"/>
      <c r="S269" s="117"/>
      <c r="T269" s="118"/>
      <c r="U269" s="118"/>
      <c r="V269" s="118"/>
      <c r="W269" s="114"/>
      <c r="X269" s="114"/>
      <c r="Y269" s="114"/>
      <c r="Z269" s="114"/>
    </row>
    <row r="270" spans="1:26" ht="12.75">
      <c r="A270" s="154"/>
      <c r="B270" s="150"/>
      <c r="C270" s="150"/>
      <c r="D270" s="150"/>
      <c r="E270" s="137"/>
      <c r="F270" s="118"/>
      <c r="G270" s="118"/>
      <c r="H270" s="118"/>
      <c r="I270" s="118"/>
      <c r="J270" s="109"/>
      <c r="K270" s="118"/>
      <c r="L270" s="118"/>
      <c r="M270" s="118"/>
      <c r="N270" s="118"/>
      <c r="O270" s="118"/>
      <c r="P270" s="117"/>
      <c r="Q270" s="117"/>
      <c r="R270" s="117"/>
      <c r="S270" s="117"/>
      <c r="T270" s="118"/>
      <c r="U270" s="118"/>
      <c r="V270" s="118"/>
      <c r="W270" s="114"/>
      <c r="X270" s="114"/>
      <c r="Y270" s="114"/>
      <c r="Z270" s="114"/>
    </row>
    <row r="271" spans="1:26" ht="12.75">
      <c r="A271" s="133"/>
      <c r="B271" s="111"/>
      <c r="C271" s="111"/>
      <c r="D271" s="111"/>
      <c r="E271" s="137"/>
      <c r="F271" s="118"/>
      <c r="G271" s="118"/>
      <c r="H271" s="118"/>
      <c r="I271" s="118"/>
      <c r="J271" s="109"/>
      <c r="K271" s="118"/>
      <c r="L271" s="118"/>
      <c r="M271" s="118"/>
      <c r="N271" s="118"/>
      <c r="O271" s="118"/>
      <c r="P271" s="117"/>
      <c r="Q271" s="117"/>
      <c r="R271" s="117"/>
      <c r="S271" s="117"/>
      <c r="T271" s="118"/>
      <c r="U271" s="118"/>
      <c r="V271" s="118"/>
      <c r="W271" s="114"/>
      <c r="X271" s="114"/>
      <c r="Y271" s="114"/>
      <c r="Z271" s="114"/>
    </row>
    <row r="272" spans="1:26" ht="12.75">
      <c r="A272" s="131"/>
      <c r="B272" s="111"/>
      <c r="C272" s="111"/>
      <c r="D272" s="111"/>
      <c r="E272" s="137"/>
      <c r="F272" s="118"/>
      <c r="G272" s="118"/>
      <c r="H272" s="118"/>
      <c r="I272" s="118"/>
      <c r="J272" s="122"/>
      <c r="K272" s="118"/>
      <c r="L272" s="118"/>
      <c r="M272" s="118"/>
      <c r="N272" s="118"/>
      <c r="O272" s="118"/>
      <c r="P272" s="117"/>
      <c r="Q272" s="117"/>
      <c r="R272" s="117"/>
      <c r="S272" s="117"/>
      <c r="T272" s="118"/>
      <c r="U272" s="118"/>
      <c r="V272" s="118"/>
      <c r="W272" s="114"/>
      <c r="X272" s="114"/>
      <c r="Y272" s="114"/>
      <c r="Z272" s="114"/>
    </row>
    <row r="273" spans="1:26" ht="12.75">
      <c r="A273" s="131"/>
      <c r="B273" s="111"/>
      <c r="C273" s="111"/>
      <c r="D273" s="111"/>
      <c r="E273" s="137"/>
      <c r="F273" s="118"/>
      <c r="G273" s="118"/>
      <c r="H273" s="118"/>
      <c r="I273" s="118"/>
      <c r="J273" s="107"/>
      <c r="K273" s="118"/>
      <c r="L273" s="118"/>
      <c r="M273" s="118"/>
      <c r="N273" s="118"/>
      <c r="O273" s="118"/>
      <c r="P273" s="117"/>
      <c r="Q273" s="117"/>
      <c r="R273" s="117"/>
      <c r="S273" s="117"/>
      <c r="T273" s="118"/>
      <c r="U273" s="118"/>
      <c r="V273" s="118"/>
      <c r="W273" s="114"/>
      <c r="X273" s="114"/>
      <c r="Y273" s="114"/>
      <c r="Z273" s="114"/>
    </row>
    <row r="274" spans="1:26" ht="12.75">
      <c r="A274" s="99"/>
      <c r="B274" s="110"/>
      <c r="C274" s="110"/>
      <c r="D274" s="111"/>
      <c r="E274" s="110"/>
      <c r="F274" s="118"/>
      <c r="G274" s="118"/>
      <c r="H274" s="118"/>
      <c r="I274" s="118"/>
      <c r="J274" s="122"/>
      <c r="K274" s="118"/>
      <c r="L274" s="118"/>
      <c r="M274" s="118"/>
      <c r="N274" s="118"/>
      <c r="O274" s="118"/>
      <c r="P274" s="121"/>
      <c r="Q274" s="117"/>
      <c r="R274" s="117"/>
      <c r="S274" s="117"/>
      <c r="T274" s="118"/>
      <c r="U274" s="118"/>
      <c r="V274" s="118"/>
      <c r="W274" s="114"/>
      <c r="X274" s="114"/>
      <c r="Y274" s="114"/>
      <c r="Z274" s="114"/>
    </row>
    <row r="275" spans="1:26" ht="12.75">
      <c r="A275" s="99"/>
      <c r="B275" s="110"/>
      <c r="C275" s="110"/>
      <c r="D275" s="111"/>
      <c r="E275" s="110"/>
      <c r="F275" s="118"/>
      <c r="G275" s="118"/>
      <c r="H275" s="118"/>
      <c r="I275" s="118"/>
      <c r="J275" s="122"/>
      <c r="K275" s="118"/>
      <c r="L275" s="118"/>
      <c r="M275" s="118"/>
      <c r="N275" s="118"/>
      <c r="O275" s="118"/>
      <c r="P275" s="121"/>
      <c r="Q275" s="117"/>
      <c r="R275" s="117"/>
      <c r="S275" s="117"/>
      <c r="T275" s="118"/>
      <c r="U275" s="118"/>
      <c r="V275" s="118"/>
      <c r="W275" s="114"/>
      <c r="X275" s="114"/>
      <c r="Y275" s="114"/>
      <c r="Z275" s="114"/>
    </row>
    <row r="276" spans="1:26" ht="12.75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18"/>
      <c r="U276" s="118"/>
      <c r="V276" s="118"/>
      <c r="W276" s="114"/>
      <c r="X276" s="114"/>
      <c r="Y276" s="114"/>
      <c r="Z276" s="114"/>
    </row>
    <row r="277" spans="1:26" ht="12.75">
      <c r="A277" s="112"/>
      <c r="B277" s="143"/>
      <c r="C277" s="143"/>
      <c r="D277" s="111"/>
      <c r="E277" s="137"/>
      <c r="F277" s="118"/>
      <c r="G277" s="118"/>
      <c r="H277" s="118"/>
      <c r="I277" s="118"/>
      <c r="J277" s="122"/>
      <c r="K277" s="118"/>
      <c r="L277" s="118"/>
      <c r="M277" s="118"/>
      <c r="N277" s="118"/>
      <c r="O277" s="118"/>
      <c r="P277" s="111"/>
      <c r="Q277" s="117"/>
      <c r="R277" s="117"/>
      <c r="S277" s="117"/>
      <c r="T277" s="123"/>
      <c r="U277" s="124"/>
      <c r="V277" s="125"/>
      <c r="W277" s="126"/>
      <c r="X277" s="126"/>
      <c r="Y277" s="114"/>
      <c r="Z277" s="114"/>
    </row>
    <row r="278" spans="1:26" ht="12.75">
      <c r="A278" s="112"/>
      <c r="B278" s="143"/>
      <c r="C278" s="143"/>
      <c r="D278" s="111"/>
      <c r="E278" s="137"/>
      <c r="F278" s="118"/>
      <c r="G278" s="118"/>
      <c r="H278" s="118"/>
      <c r="I278" s="118"/>
      <c r="J278" s="122"/>
      <c r="K278" s="119"/>
      <c r="L278" s="118"/>
      <c r="M278" s="118"/>
      <c r="N278" s="119"/>
      <c r="O278" s="119"/>
      <c r="P278" s="111"/>
      <c r="Q278" s="111"/>
      <c r="R278" s="117"/>
      <c r="S278" s="117"/>
      <c r="T278" s="123"/>
      <c r="U278" s="124"/>
      <c r="V278" s="118"/>
      <c r="W278" s="114"/>
      <c r="X278" s="114"/>
      <c r="Y278" s="114"/>
      <c r="Z278" s="114"/>
    </row>
    <row r="279" spans="1:26" ht="12.75">
      <c r="A279" s="144"/>
      <c r="B279" s="143"/>
      <c r="C279" s="143"/>
      <c r="D279" s="111"/>
      <c r="E279" s="137"/>
      <c r="F279" s="118"/>
      <c r="G279" s="118"/>
      <c r="H279" s="118"/>
      <c r="I279" s="118"/>
      <c r="J279" s="122"/>
      <c r="K279" s="119"/>
      <c r="L279" s="118"/>
      <c r="M279" s="118"/>
      <c r="N279" s="119"/>
      <c r="O279" s="119"/>
      <c r="P279" s="111"/>
      <c r="Q279" s="111"/>
      <c r="R279" s="117"/>
      <c r="S279" s="117"/>
      <c r="T279" s="123"/>
      <c r="U279" s="124"/>
      <c r="V279" s="118"/>
      <c r="W279" s="114"/>
      <c r="X279" s="114"/>
      <c r="Y279" s="114"/>
      <c r="Z279" s="114"/>
    </row>
    <row r="280" spans="1:26" ht="12.75">
      <c r="A280" s="99"/>
      <c r="B280" s="143"/>
      <c r="C280" s="143"/>
      <c r="D280" s="111"/>
      <c r="E280" s="137"/>
      <c r="F280" s="118"/>
      <c r="G280" s="118"/>
      <c r="H280" s="118"/>
      <c r="I280" s="118"/>
      <c r="J280" s="122"/>
      <c r="K280" s="119"/>
      <c r="L280" s="118"/>
      <c r="M280" s="118"/>
      <c r="N280" s="119"/>
      <c r="O280" s="119"/>
      <c r="P280" s="117"/>
      <c r="Q280" s="117"/>
      <c r="R280" s="117"/>
      <c r="S280" s="117"/>
      <c r="T280" s="124"/>
      <c r="U280" s="124"/>
      <c r="V280" s="118"/>
      <c r="W280" s="114"/>
      <c r="X280" s="114"/>
      <c r="Y280" s="114"/>
      <c r="Z280" s="114"/>
    </row>
    <row r="281" spans="1:26" ht="12.75">
      <c r="A281" s="99"/>
      <c r="B281" s="143"/>
      <c r="C281" s="143"/>
      <c r="D281" s="111"/>
      <c r="E281" s="137"/>
      <c r="F281" s="118"/>
      <c r="G281" s="118"/>
      <c r="H281" s="118"/>
      <c r="I281" s="118"/>
      <c r="J281" s="122"/>
      <c r="K281" s="119"/>
      <c r="L281" s="118"/>
      <c r="M281" s="118"/>
      <c r="N281" s="119"/>
      <c r="O281" s="119"/>
      <c r="P281" s="117"/>
      <c r="Q281" s="117"/>
      <c r="R281" s="117"/>
      <c r="S281" s="117"/>
      <c r="T281" s="124"/>
      <c r="U281" s="124"/>
      <c r="V281" s="118"/>
      <c r="W281" s="114"/>
      <c r="X281" s="114"/>
      <c r="Y281" s="114"/>
      <c r="Z281" s="114"/>
    </row>
    <row r="282" spans="1:26" ht="12.75">
      <c r="A282" s="138"/>
      <c r="B282" s="158"/>
      <c r="C282" s="158"/>
      <c r="D282" s="111"/>
      <c r="E282" s="137"/>
      <c r="F282" s="118"/>
      <c r="G282" s="118"/>
      <c r="H282" s="118"/>
      <c r="I282" s="118"/>
      <c r="J282" s="122"/>
      <c r="K282" s="119"/>
      <c r="L282" s="118"/>
      <c r="M282" s="118"/>
      <c r="N282" s="119"/>
      <c r="O282" s="119"/>
      <c r="P282" s="117"/>
      <c r="Q282" s="117"/>
      <c r="R282" s="117"/>
      <c r="S282" s="117"/>
      <c r="T282" s="124"/>
      <c r="U282" s="124"/>
      <c r="V282" s="118"/>
      <c r="W282" s="114"/>
      <c r="X282" s="114"/>
      <c r="Y282" s="114"/>
      <c r="Z282" s="114"/>
    </row>
    <row r="283" spans="1:26" ht="12.75">
      <c r="A283" s="107"/>
      <c r="B283" s="158"/>
      <c r="C283" s="158"/>
      <c r="D283" s="150"/>
      <c r="E283" s="137"/>
      <c r="F283" s="118"/>
      <c r="G283" s="118"/>
      <c r="H283" s="118"/>
      <c r="I283" s="118"/>
      <c r="J283" s="122"/>
      <c r="K283" s="119"/>
      <c r="L283" s="118"/>
      <c r="M283" s="118"/>
      <c r="N283" s="119"/>
      <c r="O283" s="119"/>
      <c r="P283" s="117"/>
      <c r="Q283" s="117"/>
      <c r="R283" s="117"/>
      <c r="S283" s="117"/>
      <c r="T283" s="124"/>
      <c r="U283" s="124"/>
      <c r="V283" s="118"/>
      <c r="W283" s="114"/>
      <c r="X283" s="114"/>
      <c r="Y283" s="114"/>
      <c r="Z283" s="114"/>
    </row>
    <row r="284" spans="1:26" ht="12.75">
      <c r="A284" s="107"/>
      <c r="B284" s="158"/>
      <c r="C284" s="158"/>
      <c r="D284" s="150"/>
      <c r="E284" s="137"/>
      <c r="F284" s="118"/>
      <c r="G284" s="118"/>
      <c r="H284" s="118"/>
      <c r="I284" s="118"/>
      <c r="J284" s="122"/>
      <c r="K284" s="119"/>
      <c r="L284" s="118"/>
      <c r="M284" s="118"/>
      <c r="N284" s="119"/>
      <c r="O284" s="119"/>
      <c r="P284" s="117"/>
      <c r="Q284" s="117"/>
      <c r="R284" s="117"/>
      <c r="S284" s="117"/>
      <c r="T284" s="124"/>
      <c r="U284" s="124"/>
      <c r="V284" s="118"/>
      <c r="W284" s="114"/>
      <c r="X284" s="114"/>
      <c r="Y284" s="114"/>
      <c r="Z284" s="114"/>
    </row>
    <row r="285" spans="1:26" ht="12.75">
      <c r="A285" s="107"/>
      <c r="B285" s="158"/>
      <c r="C285" s="158"/>
      <c r="D285" s="150"/>
      <c r="E285" s="137"/>
      <c r="F285" s="118"/>
      <c r="G285" s="118"/>
      <c r="H285" s="118"/>
      <c r="I285" s="118"/>
      <c r="J285" s="122"/>
      <c r="K285" s="119"/>
      <c r="L285" s="118"/>
      <c r="M285" s="118"/>
      <c r="N285" s="119"/>
      <c r="O285" s="119"/>
      <c r="P285" s="117"/>
      <c r="Q285" s="117"/>
      <c r="R285" s="117"/>
      <c r="S285" s="117"/>
      <c r="T285" s="124"/>
      <c r="U285" s="124"/>
      <c r="V285" s="118"/>
      <c r="W285" s="114"/>
      <c r="X285" s="114"/>
      <c r="Y285" s="114"/>
      <c r="Z285" s="114"/>
    </row>
    <row r="286" spans="1:26" ht="12.75">
      <c r="A286" s="107"/>
      <c r="B286" s="158"/>
      <c r="C286" s="158"/>
      <c r="D286" s="150"/>
      <c r="E286" s="137"/>
      <c r="F286" s="118"/>
      <c r="G286" s="118"/>
      <c r="H286" s="118"/>
      <c r="I286" s="118"/>
      <c r="J286" s="122"/>
      <c r="K286" s="119"/>
      <c r="L286" s="118"/>
      <c r="M286" s="118"/>
      <c r="N286" s="119"/>
      <c r="O286" s="119"/>
      <c r="P286" s="117"/>
      <c r="Q286" s="117"/>
      <c r="R286" s="117"/>
      <c r="S286" s="117"/>
      <c r="T286" s="124"/>
      <c r="U286" s="124"/>
      <c r="V286" s="118"/>
      <c r="W286" s="114"/>
      <c r="X286" s="114"/>
      <c r="Y286" s="114"/>
      <c r="Z286" s="114"/>
    </row>
    <row r="287" spans="1:26" ht="12.75">
      <c r="A287" s="99"/>
      <c r="B287" s="143"/>
      <c r="C287" s="143"/>
      <c r="D287" s="111"/>
      <c r="E287" s="137"/>
      <c r="F287" s="118"/>
      <c r="G287" s="118"/>
      <c r="H287" s="118"/>
      <c r="I287" s="118"/>
      <c r="J287" s="122"/>
      <c r="K287" s="119"/>
      <c r="L287" s="118"/>
      <c r="M287" s="118"/>
      <c r="N287" s="119"/>
      <c r="O287" s="119"/>
      <c r="P287" s="117"/>
      <c r="Q287" s="117"/>
      <c r="R287" s="117"/>
      <c r="S287" s="117"/>
      <c r="T287" s="124"/>
      <c r="U287" s="124"/>
      <c r="V287" s="118"/>
      <c r="W287" s="114"/>
      <c r="X287" s="114"/>
      <c r="Y287" s="114"/>
      <c r="Z287" s="114"/>
    </row>
    <row r="288" spans="1:26" ht="12.75">
      <c r="A288" s="99"/>
      <c r="B288" s="143"/>
      <c r="C288" s="143"/>
      <c r="D288" s="111"/>
      <c r="E288" s="137"/>
      <c r="F288" s="118"/>
      <c r="G288" s="118"/>
      <c r="H288" s="118"/>
      <c r="I288" s="118"/>
      <c r="J288" s="122"/>
      <c r="K288" s="119"/>
      <c r="L288" s="118"/>
      <c r="M288" s="118"/>
      <c r="N288" s="119"/>
      <c r="O288" s="119"/>
      <c r="P288" s="117"/>
      <c r="Q288" s="117"/>
      <c r="R288" s="117"/>
      <c r="S288" s="117"/>
      <c r="T288" s="124"/>
      <c r="U288" s="124"/>
      <c r="V288" s="118"/>
      <c r="W288" s="114"/>
      <c r="X288" s="114"/>
      <c r="Y288" s="114"/>
      <c r="Z288" s="114"/>
    </row>
    <row r="289" spans="1:26" ht="12.75">
      <c r="A289" s="99"/>
      <c r="B289" s="143"/>
      <c r="C289" s="143"/>
      <c r="D289" s="111"/>
      <c r="E289" s="137"/>
      <c r="F289" s="118"/>
      <c r="G289" s="118"/>
      <c r="H289" s="118"/>
      <c r="I289" s="118"/>
      <c r="J289" s="122"/>
      <c r="K289" s="119"/>
      <c r="L289" s="118"/>
      <c r="M289" s="118"/>
      <c r="N289" s="119"/>
      <c r="O289" s="119"/>
      <c r="P289" s="117"/>
      <c r="Q289" s="117"/>
      <c r="R289" s="117"/>
      <c r="S289" s="117"/>
      <c r="T289" s="124"/>
      <c r="U289" s="124"/>
      <c r="V289" s="118"/>
      <c r="W289" s="114"/>
      <c r="X289" s="114"/>
      <c r="Y289" s="114"/>
      <c r="Z289" s="114"/>
    </row>
    <row r="290" spans="1:26" ht="12.75">
      <c r="A290" s="132"/>
      <c r="B290" s="143"/>
      <c r="C290" s="143"/>
      <c r="D290" s="111"/>
      <c r="E290" s="145"/>
      <c r="F290" s="118"/>
      <c r="G290" s="118"/>
      <c r="H290" s="118"/>
      <c r="I290" s="118"/>
      <c r="J290" s="122"/>
      <c r="K290" s="119"/>
      <c r="L290" s="118"/>
      <c r="M290" s="118"/>
      <c r="N290" s="119"/>
      <c r="O290" s="119"/>
      <c r="P290" s="117"/>
      <c r="Q290" s="117"/>
      <c r="R290" s="117"/>
      <c r="S290" s="117"/>
      <c r="T290" s="124"/>
      <c r="U290" s="124"/>
      <c r="V290" s="118"/>
      <c r="W290" s="114"/>
      <c r="X290" s="114"/>
      <c r="Y290" s="114"/>
      <c r="Z290" s="114"/>
    </row>
    <row r="291" spans="1:26" ht="12.75">
      <c r="A291" s="99"/>
      <c r="B291" s="143"/>
      <c r="C291" s="143"/>
      <c r="D291" s="111"/>
      <c r="E291" s="137"/>
      <c r="F291" s="118"/>
      <c r="G291" s="118"/>
      <c r="H291" s="118"/>
      <c r="I291" s="118"/>
      <c r="J291" s="122"/>
      <c r="K291" s="119"/>
      <c r="L291" s="118"/>
      <c r="M291" s="118"/>
      <c r="N291" s="119"/>
      <c r="O291" s="119"/>
      <c r="P291" s="117"/>
      <c r="Q291" s="117"/>
      <c r="R291" s="117"/>
      <c r="S291" s="146"/>
      <c r="T291" s="127"/>
      <c r="U291" s="124"/>
      <c r="V291" s="118"/>
      <c r="W291" s="126"/>
      <c r="X291" s="126"/>
      <c r="Y291" s="114"/>
      <c r="Z291" s="114"/>
    </row>
    <row r="292" spans="1:26" ht="12.75">
      <c r="A292" s="133"/>
      <c r="B292" s="143"/>
      <c r="C292" s="143"/>
      <c r="D292" s="143"/>
      <c r="E292" s="137"/>
      <c r="F292" s="118"/>
      <c r="G292" s="118"/>
      <c r="H292" s="118"/>
      <c r="I292" s="118"/>
      <c r="J292" s="122"/>
      <c r="K292" s="118"/>
      <c r="L292" s="118"/>
      <c r="M292" s="118"/>
      <c r="N292" s="118"/>
      <c r="O292" s="118"/>
      <c r="P292" s="117"/>
      <c r="Q292" s="117"/>
      <c r="R292" s="117"/>
      <c r="S292" s="117"/>
      <c r="T292" s="106"/>
      <c r="U292" s="118"/>
      <c r="V292" s="118"/>
      <c r="W292" s="114"/>
      <c r="X292" s="114"/>
      <c r="Y292" s="114"/>
      <c r="Z292" s="114"/>
    </row>
    <row r="293" spans="1:26" ht="12.75">
      <c r="A293" s="131"/>
      <c r="B293" s="143"/>
      <c r="C293" s="143"/>
      <c r="D293" s="143"/>
      <c r="E293" s="145"/>
      <c r="F293" s="118"/>
      <c r="G293" s="118"/>
      <c r="H293" s="118"/>
      <c r="I293" s="118"/>
      <c r="J293" s="122"/>
      <c r="K293" s="118"/>
      <c r="L293" s="118"/>
      <c r="M293" s="118"/>
      <c r="N293" s="118"/>
      <c r="O293" s="118"/>
      <c r="P293" s="117"/>
      <c r="Q293" s="117"/>
      <c r="R293" s="117"/>
      <c r="S293" s="117"/>
      <c r="T293" s="106"/>
      <c r="U293" s="118"/>
      <c r="V293" s="118"/>
      <c r="W293" s="114"/>
      <c r="X293" s="114"/>
      <c r="Y293" s="114"/>
      <c r="Z293" s="114"/>
    </row>
    <row r="294" spans="1:26" ht="12.75">
      <c r="A294" s="131"/>
      <c r="B294" s="143"/>
      <c r="C294" s="143"/>
      <c r="D294" s="143"/>
      <c r="E294" s="145"/>
      <c r="F294" s="118"/>
      <c r="G294" s="118"/>
      <c r="H294" s="118"/>
      <c r="I294" s="118"/>
      <c r="J294" s="122"/>
      <c r="K294" s="118"/>
      <c r="L294" s="118"/>
      <c r="M294" s="118"/>
      <c r="N294" s="118"/>
      <c r="O294" s="118"/>
      <c r="P294" s="117"/>
      <c r="Q294" s="117"/>
      <c r="R294" s="117"/>
      <c r="S294" s="117"/>
      <c r="T294" s="106"/>
      <c r="U294" s="118"/>
      <c r="V294" s="118"/>
      <c r="W294" s="114"/>
      <c r="X294" s="114"/>
      <c r="Y294" s="114"/>
      <c r="Z294" s="114"/>
    </row>
    <row r="295" spans="1:26" ht="12.75">
      <c r="A295" s="151"/>
      <c r="B295" s="143"/>
      <c r="C295" s="143"/>
      <c r="D295" s="143"/>
      <c r="E295" s="159"/>
      <c r="F295" s="118"/>
      <c r="G295" s="118"/>
      <c r="H295" s="118"/>
      <c r="I295" s="118"/>
      <c r="J295" s="122"/>
      <c r="K295" s="118"/>
      <c r="L295" s="118"/>
      <c r="M295" s="118"/>
      <c r="N295" s="118"/>
      <c r="O295" s="118"/>
      <c r="P295" s="150"/>
      <c r="Q295" s="150"/>
      <c r="R295" s="150"/>
      <c r="S295" s="150"/>
      <c r="T295" s="106"/>
      <c r="U295" s="118"/>
      <c r="V295" s="118"/>
      <c r="W295" s="114"/>
      <c r="X295" s="114"/>
      <c r="Y295" s="114"/>
      <c r="Z295" s="114"/>
    </row>
    <row r="296" spans="1:26" ht="12.75">
      <c r="A296" s="151"/>
      <c r="B296" s="110"/>
      <c r="C296" s="110"/>
      <c r="D296" s="111"/>
      <c r="E296" s="159"/>
      <c r="F296" s="118"/>
      <c r="G296" s="118"/>
      <c r="H296" s="118"/>
      <c r="I296" s="118"/>
      <c r="J296" s="122"/>
      <c r="K296" s="118"/>
      <c r="L296" s="118"/>
      <c r="M296" s="118"/>
      <c r="N296" s="118"/>
      <c r="O296" s="118"/>
      <c r="P296" s="150"/>
      <c r="Q296" s="150"/>
      <c r="R296" s="150"/>
      <c r="S296" s="150"/>
      <c r="T296" s="118"/>
      <c r="U296" s="118"/>
      <c r="V296" s="118"/>
      <c r="W296" s="114"/>
      <c r="X296" s="114"/>
      <c r="Y296" s="114"/>
      <c r="Z296" s="114"/>
    </row>
    <row r="297" spans="1:26" ht="12.75">
      <c r="A297" s="133"/>
      <c r="B297" s="110"/>
      <c r="C297" s="110"/>
      <c r="D297" s="111"/>
      <c r="E297" s="110"/>
      <c r="F297" s="118"/>
      <c r="G297" s="118"/>
      <c r="H297" s="118"/>
      <c r="I297" s="118"/>
      <c r="J297" s="122"/>
      <c r="K297" s="118"/>
      <c r="L297" s="118"/>
      <c r="M297" s="118"/>
      <c r="N297" s="118"/>
      <c r="O297" s="118"/>
      <c r="P297" s="147"/>
      <c r="Q297" s="147"/>
      <c r="R297" s="147"/>
      <c r="S297" s="147"/>
      <c r="T297" s="118"/>
      <c r="U297" s="118"/>
      <c r="V297" s="118"/>
      <c r="W297" s="128"/>
      <c r="X297" s="128"/>
      <c r="Y297" s="114"/>
      <c r="Z297" s="114"/>
    </row>
    <row r="298" spans="1:26" ht="12.75">
      <c r="A298" s="99"/>
      <c r="B298" s="110"/>
      <c r="C298" s="110"/>
      <c r="D298" s="111"/>
      <c r="E298" s="110"/>
      <c r="F298" s="118"/>
      <c r="G298" s="118"/>
      <c r="H298" s="118"/>
      <c r="I298" s="118"/>
      <c r="J298" s="122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</row>
    <row r="299" spans="1:26" ht="12.75">
      <c r="A299" s="99"/>
      <c r="B299" s="110"/>
      <c r="C299" s="110"/>
      <c r="D299" s="111"/>
      <c r="E299" s="110"/>
      <c r="F299" s="118"/>
      <c r="G299" s="118"/>
      <c r="H299" s="118"/>
      <c r="I299" s="118"/>
      <c r="J299" s="122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</row>
    <row r="300" spans="1:26" ht="12.75">
      <c r="A300" s="99"/>
      <c r="B300" s="110"/>
      <c r="C300" s="110"/>
      <c r="D300" s="111"/>
      <c r="E300" s="110"/>
      <c r="F300" s="118"/>
      <c r="G300" s="118"/>
      <c r="H300" s="118"/>
      <c r="I300" s="118"/>
      <c r="J300" s="122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</row>
    <row r="301" spans="1:26" ht="12.75">
      <c r="A301" s="99"/>
      <c r="B301" s="110"/>
      <c r="C301" s="110"/>
      <c r="D301" s="111"/>
      <c r="E301" s="110"/>
      <c r="F301" s="118"/>
      <c r="G301" s="118"/>
      <c r="H301" s="118"/>
      <c r="I301" s="118"/>
      <c r="J301" s="122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</row>
    <row r="302" spans="1:26" ht="12.75">
      <c r="A302" s="99"/>
      <c r="B302" s="110"/>
      <c r="C302" s="110"/>
      <c r="D302" s="111"/>
      <c r="E302" s="110"/>
      <c r="F302" s="118"/>
      <c r="G302" s="118"/>
      <c r="H302" s="118"/>
      <c r="I302" s="118"/>
      <c r="J302" s="122"/>
      <c r="K302" s="118"/>
      <c r="L302" s="118"/>
      <c r="M302" s="118"/>
      <c r="N302" s="118"/>
      <c r="O302" s="118"/>
      <c r="P302" s="118"/>
      <c r="Q302" s="118"/>
      <c r="R302" s="118"/>
      <c r="S302" s="118"/>
      <c r="T302" s="148"/>
      <c r="U302" s="148"/>
      <c r="V302" s="148"/>
      <c r="W302" s="118"/>
      <c r="X302" s="118"/>
      <c r="Y302" s="118"/>
      <c r="Z302" s="118"/>
    </row>
    <row r="303" spans="1:26" ht="12.75">
      <c r="A303" s="99"/>
      <c r="B303" s="110"/>
      <c r="C303" s="110"/>
      <c r="D303" s="111"/>
      <c r="E303" s="110"/>
      <c r="F303" s="118"/>
      <c r="G303" s="118"/>
      <c r="H303" s="118"/>
      <c r="I303" s="118"/>
      <c r="J303" s="122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</row>
    <row r="304" spans="1:26" ht="12.75">
      <c r="A304" s="99"/>
      <c r="B304" s="110"/>
      <c r="C304" s="110"/>
      <c r="D304" s="111"/>
      <c r="E304" s="110"/>
      <c r="F304" s="118"/>
      <c r="G304" s="118"/>
      <c r="H304" s="118"/>
      <c r="I304" s="118"/>
      <c r="J304" s="122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</row>
    <row r="305" spans="1:26" ht="12.75">
      <c r="A305" s="99"/>
      <c r="B305" s="110"/>
      <c r="C305" s="110"/>
      <c r="D305" s="111"/>
      <c r="E305" s="110"/>
      <c r="F305" s="118"/>
      <c r="G305" s="118"/>
      <c r="H305" s="118"/>
      <c r="I305" s="118"/>
      <c r="J305" s="122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</row>
    <row r="306" spans="1:26" ht="12.75">
      <c r="A306" s="99"/>
      <c r="B306" s="110"/>
      <c r="C306" s="110"/>
      <c r="D306" s="111"/>
      <c r="E306" s="110"/>
      <c r="F306" s="118"/>
      <c r="G306" s="118"/>
      <c r="H306" s="118"/>
      <c r="I306" s="118"/>
      <c r="J306" s="122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</row>
    <row r="307" spans="1:26" ht="12.75">
      <c r="A307" s="99"/>
      <c r="B307" s="110"/>
      <c r="C307" s="110"/>
      <c r="D307" s="111"/>
      <c r="E307" s="110"/>
      <c r="F307" s="118"/>
      <c r="G307" s="118"/>
      <c r="H307" s="118"/>
      <c r="I307" s="118"/>
      <c r="J307" s="122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29"/>
      <c r="X307" s="129"/>
      <c r="Y307" s="118"/>
      <c r="Z307" s="118"/>
    </row>
    <row r="308" spans="1:26" ht="12.75">
      <c r="A308" s="99"/>
      <c r="B308" s="110"/>
      <c r="C308" s="110"/>
      <c r="D308" s="111"/>
      <c r="E308" s="110"/>
      <c r="F308" s="118"/>
      <c r="G308" s="118"/>
      <c r="H308" s="118"/>
      <c r="I308" s="118"/>
      <c r="J308" s="122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</row>
    <row r="309" spans="1:26" ht="12.75">
      <c r="A309" s="99"/>
      <c r="B309" s="110"/>
      <c r="C309" s="110"/>
      <c r="D309" s="111"/>
      <c r="E309" s="110"/>
      <c r="F309" s="118"/>
      <c r="G309" s="118"/>
      <c r="H309" s="118"/>
      <c r="I309" s="118"/>
      <c r="J309" s="122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</row>
    <row r="310" spans="1:26" ht="12.75">
      <c r="A310" s="99"/>
      <c r="B310" s="110"/>
      <c r="C310" s="110"/>
      <c r="D310" s="111"/>
      <c r="E310" s="110"/>
      <c r="F310" s="118"/>
      <c r="G310" s="118"/>
      <c r="H310" s="118"/>
      <c r="I310" s="118"/>
      <c r="J310" s="122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</row>
    <row r="311" spans="1:26" ht="12.75">
      <c r="A311" s="99"/>
      <c r="B311" s="110"/>
      <c r="C311" s="110"/>
      <c r="D311" s="111"/>
      <c r="E311" s="110"/>
      <c r="F311" s="118"/>
      <c r="G311" s="118"/>
      <c r="H311" s="118"/>
      <c r="I311" s="118"/>
      <c r="J311" s="122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</row>
    <row r="312" spans="1:26" ht="12.75">
      <c r="A312" s="99"/>
      <c r="B312" s="99"/>
      <c r="C312" s="99"/>
      <c r="D312" s="112"/>
      <c r="E312" s="99"/>
      <c r="F312" s="118"/>
      <c r="G312" s="118"/>
      <c r="H312" s="118"/>
      <c r="I312" s="118"/>
      <c r="J312" s="122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9"/>
      <c r="X312" s="119"/>
      <c r="Y312" s="119"/>
      <c r="Z312" s="119"/>
    </row>
    <row r="313" spans="1:26" ht="12.75">
      <c r="A313" s="99"/>
      <c r="B313" s="99"/>
      <c r="C313" s="99"/>
      <c r="D313" s="112"/>
      <c r="E313" s="99"/>
      <c r="F313" s="118"/>
      <c r="G313" s="118"/>
      <c r="H313" s="118"/>
      <c r="I313" s="118"/>
      <c r="J313" s="122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9"/>
      <c r="X313" s="119"/>
      <c r="Y313" s="119"/>
      <c r="Z313" s="119"/>
    </row>
    <row r="314" spans="1:26" ht="12.75">
      <c r="A314" s="99"/>
      <c r="B314" s="99"/>
      <c r="C314" s="99"/>
      <c r="D314" s="112"/>
      <c r="E314" s="99"/>
      <c r="F314" s="118"/>
      <c r="G314" s="118"/>
      <c r="H314" s="118"/>
      <c r="I314" s="118"/>
      <c r="J314" s="122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</row>
    <row r="315" spans="1:26" ht="12.75">
      <c r="A315" s="99"/>
      <c r="B315" s="99"/>
      <c r="C315" s="99"/>
      <c r="D315" s="112"/>
      <c r="E315" s="99"/>
      <c r="F315" s="118"/>
      <c r="G315" s="118"/>
      <c r="H315" s="118"/>
      <c r="I315" s="118"/>
      <c r="J315" s="122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</row>
    <row r="316" spans="1:26" ht="12.75">
      <c r="A316" s="99"/>
      <c r="B316" s="99"/>
      <c r="C316" s="99"/>
      <c r="D316" s="112"/>
      <c r="E316" s="99"/>
      <c r="F316" s="118"/>
      <c r="G316" s="118"/>
      <c r="H316" s="118"/>
      <c r="I316" s="118"/>
      <c r="J316" s="122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</row>
    <row r="317" spans="1:26" ht="12.75">
      <c r="A317" s="99"/>
      <c r="B317" s="99"/>
      <c r="C317" s="99"/>
      <c r="D317" s="112"/>
      <c r="E317" s="99"/>
      <c r="F317" s="118"/>
      <c r="G317" s="118"/>
      <c r="H317" s="118"/>
      <c r="I317" s="118"/>
      <c r="J317" s="122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</row>
    <row r="318" spans="1:26" ht="12.75">
      <c r="A318" s="99"/>
      <c r="B318" s="99"/>
      <c r="C318" s="99"/>
      <c r="D318" s="112"/>
      <c r="E318" s="99"/>
      <c r="F318" s="118"/>
      <c r="G318" s="118"/>
      <c r="H318" s="118"/>
      <c r="I318" s="118"/>
      <c r="J318" s="122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</row>
    <row r="319" spans="1:26" ht="12.75">
      <c r="A319" s="99"/>
      <c r="B319" s="99"/>
      <c r="C319" s="99"/>
      <c r="D319" s="112"/>
      <c r="E319" s="99"/>
      <c r="F319" s="118"/>
      <c r="G319" s="118"/>
      <c r="H319" s="118"/>
      <c r="I319" s="118"/>
      <c r="J319" s="122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</row>
    <row r="320" spans="1:26" ht="12.75">
      <c r="A320" s="99"/>
      <c r="B320" s="99"/>
      <c r="C320" s="99"/>
      <c r="D320" s="112"/>
      <c r="E320" s="99"/>
      <c r="F320" s="118"/>
      <c r="G320" s="118"/>
      <c r="H320" s="118"/>
      <c r="I320" s="118"/>
      <c r="J320" s="122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</row>
    <row r="321" spans="1:26" ht="12.75">
      <c r="A321" s="99"/>
      <c r="B321" s="99"/>
      <c r="C321" s="99"/>
      <c r="D321" s="112"/>
      <c r="E321" s="99"/>
      <c r="F321" s="118"/>
      <c r="G321" s="118"/>
      <c r="H321" s="118"/>
      <c r="I321" s="118"/>
      <c r="J321" s="122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</row>
    <row r="322" spans="1:26" ht="12.75">
      <c r="A322" s="99"/>
      <c r="B322" s="99"/>
      <c r="C322" s="99"/>
      <c r="D322" s="112"/>
      <c r="E322" s="99"/>
      <c r="F322" s="118"/>
      <c r="G322" s="118"/>
      <c r="H322" s="118"/>
      <c r="I322" s="118"/>
      <c r="J322" s="122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</row>
    <row r="323" spans="1:26" ht="12.75">
      <c r="A323" s="99"/>
      <c r="B323" s="99"/>
      <c r="C323" s="99"/>
      <c r="D323" s="112"/>
      <c r="E323" s="99"/>
      <c r="F323" s="118"/>
      <c r="G323" s="118"/>
      <c r="H323" s="118"/>
      <c r="I323" s="118"/>
      <c r="J323" s="122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</row>
    <row r="324" spans="1:26" ht="12.75">
      <c r="A324" s="99"/>
      <c r="B324" s="99"/>
      <c r="C324" s="99"/>
      <c r="D324" s="112"/>
      <c r="E324" s="99"/>
      <c r="F324" s="118"/>
      <c r="G324" s="118"/>
      <c r="H324" s="118"/>
      <c r="I324" s="118"/>
      <c r="J324" s="122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</row>
    <row r="325" spans="1:26" ht="12.75">
      <c r="A325" s="99"/>
      <c r="B325" s="99"/>
      <c r="C325" s="99"/>
      <c r="D325" s="112"/>
      <c r="E325" s="99"/>
      <c r="F325" s="118"/>
      <c r="G325" s="118"/>
      <c r="H325" s="118"/>
      <c r="I325" s="118"/>
      <c r="J325" s="122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</row>
    <row r="326" spans="1:26" ht="12.75">
      <c r="A326" s="99"/>
      <c r="B326" s="99"/>
      <c r="C326" s="99"/>
      <c r="D326" s="112"/>
      <c r="E326" s="99"/>
      <c r="F326" s="118"/>
      <c r="G326" s="118"/>
      <c r="H326" s="118"/>
      <c r="I326" s="118"/>
      <c r="J326" s="122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</row>
    <row r="327" spans="1:26" ht="12.75">
      <c r="A327" s="99"/>
      <c r="B327" s="99"/>
      <c r="C327" s="99"/>
      <c r="D327" s="112"/>
      <c r="E327" s="99"/>
      <c r="F327" s="118"/>
      <c r="G327" s="118"/>
      <c r="H327" s="118"/>
      <c r="I327" s="118"/>
      <c r="J327" s="122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</row>
    <row r="328" spans="1:26" ht="12.75">
      <c r="A328" s="99"/>
      <c r="B328" s="99"/>
      <c r="C328" s="99"/>
      <c r="D328" s="112"/>
      <c r="E328" s="99"/>
      <c r="F328" s="118"/>
      <c r="G328" s="118"/>
      <c r="H328" s="118"/>
      <c r="I328" s="118"/>
      <c r="J328" s="122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</row>
    <row r="329" spans="1:26" ht="12.75">
      <c r="A329" s="99"/>
      <c r="B329" s="99"/>
      <c r="C329" s="99"/>
      <c r="D329" s="112"/>
      <c r="E329" s="99"/>
      <c r="F329" s="118"/>
      <c r="G329" s="118"/>
      <c r="H329" s="118"/>
      <c r="I329" s="118"/>
      <c r="J329" s="122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</row>
    <row r="330" spans="1:26" ht="12.75">
      <c r="A330" s="99"/>
      <c r="B330" s="99"/>
      <c r="C330" s="99"/>
      <c r="D330" s="112"/>
      <c r="E330" s="99"/>
      <c r="F330" s="118"/>
      <c r="G330" s="118"/>
      <c r="H330" s="118"/>
      <c r="I330" s="118"/>
      <c r="J330" s="122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12.75">
      <c r="A331" s="99"/>
      <c r="B331" s="99"/>
      <c r="C331" s="99"/>
      <c r="D331" s="112"/>
      <c r="E331" s="99"/>
      <c r="F331" s="118"/>
      <c r="G331" s="118"/>
      <c r="H331" s="118"/>
      <c r="I331" s="118"/>
      <c r="J331" s="122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</row>
    <row r="332" spans="1:26" ht="12.75">
      <c r="A332" s="99"/>
      <c r="B332" s="99"/>
      <c r="C332" s="99"/>
      <c r="D332" s="112"/>
      <c r="E332" s="99"/>
      <c r="F332" s="118"/>
      <c r="G332" s="118"/>
      <c r="H332" s="118"/>
      <c r="I332" s="118"/>
      <c r="J332" s="122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</row>
    <row r="333" ht="12.75">
      <c r="A333" s="33"/>
    </row>
  </sheetData>
  <printOptions/>
  <pageMargins left="0.75" right="0.75" top="1" bottom="1" header="0.4921259845" footer="0.492125984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Groening</dc:creator>
  <cp:keywords/>
  <dc:description/>
  <cp:lastModifiedBy>Dr. Lars Groening</cp:lastModifiedBy>
  <cp:lastPrinted>2011-07-20T10:22:27Z</cp:lastPrinted>
  <dcterms:created xsi:type="dcterms:W3CDTF">2009-09-10T11:14:29Z</dcterms:created>
  <dcterms:modified xsi:type="dcterms:W3CDTF">2011-09-19T11:39:30Z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-474263187</vt:i4>
  </property>
  <property fmtid="{D5CDD505-2E9C-101B-9397-08002B2CF9AE}" pid="4" name="_EmailSubje">
    <vt:lpwstr>p-Linac; Nomen-File aktualisiert</vt:lpwstr>
  </property>
  <property fmtid="{D5CDD505-2E9C-101B-9397-08002B2CF9AE}" pid="5" name="_AuthorEma">
    <vt:lpwstr>La.Groening@gsi.de</vt:lpwstr>
  </property>
  <property fmtid="{D5CDD505-2E9C-101B-9397-08002B2CF9AE}" pid="6" name="_AuthorEmailDisplayNa">
    <vt:lpwstr>Groening, Lars Dr.</vt:lpwstr>
  </property>
</Properties>
</file>